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Era\EraKanColle+SJ\Readme\"/>
    </mc:Choice>
  </mc:AlternateContent>
  <bookViews>
    <workbookView xWindow="0" yWindow="0" windowWidth="21570" windowHeight="8640"/>
  </bookViews>
  <sheets>
    <sheet name="Chara" sheetId="2" r:id="rId1"/>
    <sheet name="Export-C" sheetId="6" r:id="rId2"/>
    <sheet name="Equip" sheetId="1" r:id="rId3"/>
    <sheet name="Export-E" sheetId="5" r:id="rId4"/>
    <sheet name="GunWeight" sheetId="3" r:id="rId5"/>
    <sheet name="Air_Command" sheetId="4" r:id="rId6"/>
  </sheets>
  <definedNames>
    <definedName name="__xlfn_NUMBERVALUE">#N/A</definedName>
    <definedName name="_xlnm._FilterDatabase" localSheetId="0" hidden="1">Chara!$A$2:$AY$917</definedName>
    <definedName name="_xlnm._FilterDatabase" localSheetId="2" hidden="1">Equip!$A$2:$AR$541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X4" i="2" l="1"/>
  <c r="AX5" i="2"/>
  <c r="AX6" i="2"/>
  <c r="AX7" i="2"/>
  <c r="AX8" i="2"/>
  <c r="AX9" i="2"/>
  <c r="AX10" i="2"/>
  <c r="AX11" i="2"/>
  <c r="AX12" i="2"/>
  <c r="AX13" i="2"/>
  <c r="AX14" i="2"/>
  <c r="AX15" i="2"/>
  <c r="AX16" i="2"/>
  <c r="AX17" i="2"/>
  <c r="AX18" i="2"/>
  <c r="AX19" i="2"/>
  <c r="AX20" i="2"/>
  <c r="AX21" i="2"/>
  <c r="AX22" i="2"/>
  <c r="AX23" i="2"/>
  <c r="AX24" i="2"/>
  <c r="AX25" i="2"/>
  <c r="AX26" i="2"/>
  <c r="AX27" i="2"/>
  <c r="AX28" i="2"/>
  <c r="AX29" i="2"/>
  <c r="AX30" i="2"/>
  <c r="AX31" i="2"/>
  <c r="AX32" i="2"/>
  <c r="AX33" i="2"/>
  <c r="AX34" i="2"/>
  <c r="AX35" i="2"/>
  <c r="AX36" i="2"/>
  <c r="AX37" i="2"/>
  <c r="AX38" i="2"/>
  <c r="AX39" i="2"/>
  <c r="AX40" i="2"/>
  <c r="AX41" i="2"/>
  <c r="AX42" i="2"/>
  <c r="AX43" i="2"/>
  <c r="AX44" i="2"/>
  <c r="AX45" i="2"/>
  <c r="AX46" i="2"/>
  <c r="AX47" i="2"/>
  <c r="AX48" i="2"/>
  <c r="AX49" i="2"/>
  <c r="AX50" i="2"/>
  <c r="AX51" i="2"/>
  <c r="AX52" i="2"/>
  <c r="AX53" i="2"/>
  <c r="AX54" i="2"/>
  <c r="AX55" i="2"/>
  <c r="AX56" i="2"/>
  <c r="AX57" i="2"/>
  <c r="AX58" i="2"/>
  <c r="AX59" i="2"/>
  <c r="AX60" i="2"/>
  <c r="AX61" i="2"/>
  <c r="AX62" i="2"/>
  <c r="AX63" i="2"/>
  <c r="AX64" i="2"/>
  <c r="AX65" i="2"/>
  <c r="AX66" i="2"/>
  <c r="AX67" i="2"/>
  <c r="AX68" i="2"/>
  <c r="AX69" i="2"/>
  <c r="AX70" i="2"/>
  <c r="AX71" i="2"/>
  <c r="AX72" i="2"/>
  <c r="AX73" i="2"/>
  <c r="AX74" i="2"/>
  <c r="AX75" i="2"/>
  <c r="AX76" i="2"/>
  <c r="AX77" i="2"/>
  <c r="AX78" i="2"/>
  <c r="AX79" i="2"/>
  <c r="AX80" i="2"/>
  <c r="AX81" i="2"/>
  <c r="AX82" i="2"/>
  <c r="AX83" i="2"/>
  <c r="AX84" i="2"/>
  <c r="AX85" i="2"/>
  <c r="AX86" i="2"/>
  <c r="AX87" i="2"/>
  <c r="AX88" i="2"/>
  <c r="AX89" i="2"/>
  <c r="AX90" i="2"/>
  <c r="AX91" i="2"/>
  <c r="AX92" i="2"/>
  <c r="AX93" i="2"/>
  <c r="AX94" i="2"/>
  <c r="AX95" i="2"/>
  <c r="AX96" i="2"/>
  <c r="AX97" i="2"/>
  <c r="AX98" i="2"/>
  <c r="AX99" i="2"/>
  <c r="AX100" i="2"/>
  <c r="AX101" i="2"/>
  <c r="AX102" i="2"/>
  <c r="AX103" i="2"/>
  <c r="AX104" i="2"/>
  <c r="AX105" i="2"/>
  <c r="AX106" i="2"/>
  <c r="AX107" i="2"/>
  <c r="AX108" i="2"/>
  <c r="AX109" i="2"/>
  <c r="AX110" i="2"/>
  <c r="AX111" i="2"/>
  <c r="AX112" i="2"/>
  <c r="AX113" i="2"/>
  <c r="AX114" i="2"/>
  <c r="AX115" i="2"/>
  <c r="AX116" i="2"/>
  <c r="AX117" i="2"/>
  <c r="AX118" i="2"/>
  <c r="AX119" i="2"/>
  <c r="AX120" i="2"/>
  <c r="AX121" i="2"/>
  <c r="AX122" i="2"/>
  <c r="AX123" i="2"/>
  <c r="AX124" i="2"/>
  <c r="AX125" i="2"/>
  <c r="AX126" i="2"/>
  <c r="AX127" i="2"/>
  <c r="AX128" i="2"/>
  <c r="AX129" i="2"/>
  <c r="AX130" i="2"/>
  <c r="AX131" i="2"/>
  <c r="AX132" i="2"/>
  <c r="AX133" i="2"/>
  <c r="AX134" i="2"/>
  <c r="AX135" i="2"/>
  <c r="AX136" i="2"/>
  <c r="AX137" i="2"/>
  <c r="AX138" i="2"/>
  <c r="AX139" i="2"/>
  <c r="AX140" i="2"/>
  <c r="AX141" i="2"/>
  <c r="AX142" i="2"/>
  <c r="AX143" i="2"/>
  <c r="AX144" i="2"/>
  <c r="AX145" i="2"/>
  <c r="AX146" i="2"/>
  <c r="AX147" i="2"/>
  <c r="AX148" i="2"/>
  <c r="AX149" i="2"/>
  <c r="AX150" i="2"/>
  <c r="AX151" i="2"/>
  <c r="AX152" i="2"/>
  <c r="AX153" i="2"/>
  <c r="AX154" i="2"/>
  <c r="AX155" i="2"/>
  <c r="AX156" i="2"/>
  <c r="AX157" i="2"/>
  <c r="AX158" i="2"/>
  <c r="AX159" i="2"/>
  <c r="AX160" i="2"/>
  <c r="AX161" i="2"/>
  <c r="AX162" i="2"/>
  <c r="AX163" i="2"/>
  <c r="AX164" i="2"/>
  <c r="AX165" i="2"/>
  <c r="AX166" i="2"/>
  <c r="AX167" i="2"/>
  <c r="AX168" i="2"/>
  <c r="AX169" i="2"/>
  <c r="AX170" i="2"/>
  <c r="AX171" i="2"/>
  <c r="AX172" i="2"/>
  <c r="AX173" i="2"/>
  <c r="AX174" i="2"/>
  <c r="AX175" i="2"/>
  <c r="AX176" i="2"/>
  <c r="AX177" i="2"/>
  <c r="AX178" i="2"/>
  <c r="AX179" i="2"/>
  <c r="AX180" i="2"/>
  <c r="AX181" i="2"/>
  <c r="AX182" i="2"/>
  <c r="AX183" i="2"/>
  <c r="AX184" i="2"/>
  <c r="AX185" i="2"/>
  <c r="AX186" i="2"/>
  <c r="AX187" i="2"/>
  <c r="AX188" i="2"/>
  <c r="AX189" i="2"/>
  <c r="AX190" i="2"/>
  <c r="AX191" i="2"/>
  <c r="AX192" i="2"/>
  <c r="AX193" i="2"/>
  <c r="AX194" i="2"/>
  <c r="AX195" i="2"/>
  <c r="AX196" i="2"/>
  <c r="AX197" i="2"/>
  <c r="AX198" i="2"/>
  <c r="AX199" i="2"/>
  <c r="AX200" i="2"/>
  <c r="AX201" i="2"/>
  <c r="AX202" i="2"/>
  <c r="AX203" i="2"/>
  <c r="AX204" i="2"/>
  <c r="AX205" i="2"/>
  <c r="AX206" i="2"/>
  <c r="AX207" i="2"/>
  <c r="AX208" i="2"/>
  <c r="AX209" i="2"/>
  <c r="AX210" i="2"/>
  <c r="AX211" i="2"/>
  <c r="AX212" i="2"/>
  <c r="AX213" i="2"/>
  <c r="AX214" i="2"/>
  <c r="AX215" i="2"/>
  <c r="AX216" i="2"/>
  <c r="AX217" i="2"/>
  <c r="AX218" i="2"/>
  <c r="AX219" i="2"/>
  <c r="AX220" i="2"/>
  <c r="AX221" i="2"/>
  <c r="AX222" i="2"/>
  <c r="AX223" i="2"/>
  <c r="AX224" i="2"/>
  <c r="AX225" i="2"/>
  <c r="AX226" i="2"/>
  <c r="AX227" i="2"/>
  <c r="AX228" i="2"/>
  <c r="AX229" i="2"/>
  <c r="AX230" i="2"/>
  <c r="AX231" i="2"/>
  <c r="AX232" i="2"/>
  <c r="AX233" i="2"/>
  <c r="AX234" i="2"/>
  <c r="AX235" i="2"/>
  <c r="AX236" i="2"/>
  <c r="AX237" i="2"/>
  <c r="AX238" i="2"/>
  <c r="AX239" i="2"/>
  <c r="AX240" i="2"/>
  <c r="AX241" i="2"/>
  <c r="AX242" i="2"/>
  <c r="AX243" i="2"/>
  <c r="AX244" i="2"/>
  <c r="AX245" i="2"/>
  <c r="AX246" i="2"/>
  <c r="AX247" i="2"/>
  <c r="AX248" i="2"/>
  <c r="AX249" i="2"/>
  <c r="AX250" i="2"/>
  <c r="AX251" i="2"/>
  <c r="AX252" i="2"/>
  <c r="AX253" i="2"/>
  <c r="AX254" i="2"/>
  <c r="AX255" i="2"/>
  <c r="AX256" i="2"/>
  <c r="AX257" i="2"/>
  <c r="AX258" i="2"/>
  <c r="AX259" i="2"/>
  <c r="AX260" i="2"/>
  <c r="AX261" i="2"/>
  <c r="AX262" i="2"/>
  <c r="AX263" i="2"/>
  <c r="AX264" i="2"/>
  <c r="AX265" i="2"/>
  <c r="AX266" i="2"/>
  <c r="AX267" i="2"/>
  <c r="AX268" i="2"/>
  <c r="AX269" i="2"/>
  <c r="AX270" i="2"/>
  <c r="AX271" i="2"/>
  <c r="AX272" i="2"/>
  <c r="AX273" i="2"/>
  <c r="AX274" i="2"/>
  <c r="AX275" i="2"/>
  <c r="AX276" i="2"/>
  <c r="AX277" i="2"/>
  <c r="AX278" i="2"/>
  <c r="AX279" i="2"/>
  <c r="AX280" i="2"/>
  <c r="AX281" i="2"/>
  <c r="AX282" i="2"/>
  <c r="AX283" i="2"/>
  <c r="AX284" i="2"/>
  <c r="AX285" i="2"/>
  <c r="AX286" i="2"/>
  <c r="AX287" i="2"/>
  <c r="AX288" i="2"/>
  <c r="AX289" i="2"/>
  <c r="AX290" i="2"/>
  <c r="AX291" i="2"/>
  <c r="AX292" i="2"/>
  <c r="AX293" i="2"/>
  <c r="AX294" i="2"/>
  <c r="AX295" i="2"/>
  <c r="AX296" i="2"/>
  <c r="AX297" i="2"/>
  <c r="AX298" i="2"/>
  <c r="AX299" i="2"/>
  <c r="AX300" i="2"/>
  <c r="AX301" i="2"/>
  <c r="AX302" i="2"/>
  <c r="AX303" i="2"/>
  <c r="AX304" i="2"/>
  <c r="AX305" i="2"/>
  <c r="AX306" i="2"/>
  <c r="AX307" i="2"/>
  <c r="AX308" i="2"/>
  <c r="AX309" i="2"/>
  <c r="AX310" i="2"/>
  <c r="AX311" i="2"/>
  <c r="AX312" i="2"/>
  <c r="AX313" i="2"/>
  <c r="AX314" i="2"/>
  <c r="AX315" i="2"/>
  <c r="AX316" i="2"/>
  <c r="AX317" i="2"/>
  <c r="AX318" i="2"/>
  <c r="AX319" i="2"/>
  <c r="AX320" i="2"/>
  <c r="AX321" i="2"/>
  <c r="AX322" i="2"/>
  <c r="AX323" i="2"/>
  <c r="AX324" i="2"/>
  <c r="AX325" i="2"/>
  <c r="AX326" i="2"/>
  <c r="AX327" i="2"/>
  <c r="AX328" i="2"/>
  <c r="AX329" i="2"/>
  <c r="AX330" i="2"/>
  <c r="AX331" i="2"/>
  <c r="AX332" i="2"/>
  <c r="AX333" i="2"/>
  <c r="AX334" i="2"/>
  <c r="AX335" i="2"/>
  <c r="AX336" i="2"/>
  <c r="AX337" i="2"/>
  <c r="AX338" i="2"/>
  <c r="AX339" i="2"/>
  <c r="AX340" i="2"/>
  <c r="AX341" i="2"/>
  <c r="AX342" i="2"/>
  <c r="AX343" i="2"/>
  <c r="AX344" i="2"/>
  <c r="AX345" i="2"/>
  <c r="AX346" i="2"/>
  <c r="AX347" i="2"/>
  <c r="AX348" i="2"/>
  <c r="AX349" i="2"/>
  <c r="AX350" i="2"/>
  <c r="AX351" i="2"/>
  <c r="AX352" i="2"/>
  <c r="AX353" i="2"/>
  <c r="AX354" i="2"/>
  <c r="AX355" i="2"/>
  <c r="AX356" i="2"/>
  <c r="AX357" i="2"/>
  <c r="AX358" i="2"/>
  <c r="AX359" i="2"/>
  <c r="AX360" i="2"/>
  <c r="AX361" i="2"/>
  <c r="AX362" i="2"/>
  <c r="AX363" i="2"/>
  <c r="AX364" i="2"/>
  <c r="AX365" i="2"/>
  <c r="AX366" i="2"/>
  <c r="AX367" i="2"/>
  <c r="AX368" i="2"/>
  <c r="AX369" i="2"/>
  <c r="AX370" i="2"/>
  <c r="AX371" i="2"/>
  <c r="AX372" i="2"/>
  <c r="AX373" i="2"/>
  <c r="AX374" i="2"/>
  <c r="AX375" i="2"/>
  <c r="AX376" i="2"/>
  <c r="AX377" i="2"/>
  <c r="AX378" i="2"/>
  <c r="AX379" i="2"/>
  <c r="AX380" i="2"/>
  <c r="AX381" i="2"/>
  <c r="AX382" i="2"/>
  <c r="AX383" i="2"/>
  <c r="AX384" i="2"/>
  <c r="AX385" i="2"/>
  <c r="AX386" i="2"/>
  <c r="AX387" i="2"/>
  <c r="AX388" i="2"/>
  <c r="AX389" i="2"/>
  <c r="AX390" i="2"/>
  <c r="AX391" i="2"/>
  <c r="AX392" i="2"/>
  <c r="AX393" i="2"/>
  <c r="AX394" i="2"/>
  <c r="AX395" i="2"/>
  <c r="AX396" i="2"/>
  <c r="AX397" i="2"/>
  <c r="AX398" i="2"/>
  <c r="AX399" i="2"/>
  <c r="AX400" i="2"/>
  <c r="AX401" i="2"/>
  <c r="AX402" i="2"/>
  <c r="AX403" i="2"/>
  <c r="AX404" i="2"/>
  <c r="AX405" i="2"/>
  <c r="AX406" i="2"/>
  <c r="AX407" i="2"/>
  <c r="AX408" i="2"/>
  <c r="AX409" i="2"/>
  <c r="AX410" i="2"/>
  <c r="AX411" i="2"/>
  <c r="AX412" i="2"/>
  <c r="AX413" i="2"/>
  <c r="AX414" i="2"/>
  <c r="AX415" i="2"/>
  <c r="AX416" i="2"/>
  <c r="AX417" i="2"/>
  <c r="AX418" i="2"/>
  <c r="AX419" i="2"/>
  <c r="AX420" i="2"/>
  <c r="AX421" i="2"/>
  <c r="AX422" i="2"/>
  <c r="AX423" i="2"/>
  <c r="AX424" i="2"/>
  <c r="AX425" i="2"/>
  <c r="AX426" i="2"/>
  <c r="AX427" i="2"/>
  <c r="AX428" i="2"/>
  <c r="AX429" i="2"/>
  <c r="AX430" i="2"/>
  <c r="AX431" i="2"/>
  <c r="AX432" i="2"/>
  <c r="AX433" i="2"/>
  <c r="AX434" i="2"/>
  <c r="AX435" i="2"/>
  <c r="AX436" i="2"/>
  <c r="AX437" i="2"/>
  <c r="AX438" i="2"/>
  <c r="AX439" i="2"/>
  <c r="AX440" i="2"/>
  <c r="AX441" i="2"/>
  <c r="AX442" i="2"/>
  <c r="AX443" i="2"/>
  <c r="AX444" i="2"/>
  <c r="AX445" i="2"/>
  <c r="AX446" i="2"/>
  <c r="AX447" i="2"/>
  <c r="AX448" i="2"/>
  <c r="AX449" i="2"/>
  <c r="AX450" i="2"/>
  <c r="AX451" i="2"/>
  <c r="AX452" i="2"/>
  <c r="AX453" i="2"/>
  <c r="AX454" i="2"/>
  <c r="AX455" i="2"/>
  <c r="AX456" i="2"/>
  <c r="AX457" i="2"/>
  <c r="AX458" i="2"/>
  <c r="AX459" i="2"/>
  <c r="AX460" i="2"/>
  <c r="AX461" i="2"/>
  <c r="AX462" i="2"/>
  <c r="AX463" i="2"/>
  <c r="AX464" i="2"/>
  <c r="AX465" i="2"/>
  <c r="AX466" i="2"/>
  <c r="AX467" i="2"/>
  <c r="AX468" i="2"/>
  <c r="AX469" i="2"/>
  <c r="AX472" i="2"/>
  <c r="AX473" i="2"/>
  <c r="AX474" i="2"/>
  <c r="AX475" i="2"/>
  <c r="AX476" i="2"/>
  <c r="AX477" i="2"/>
  <c r="AX478" i="2"/>
  <c r="AX479" i="2"/>
  <c r="AX480" i="2"/>
  <c r="AX481" i="2"/>
  <c r="AX482" i="2"/>
  <c r="AX483" i="2"/>
  <c r="AX484" i="2"/>
  <c r="AX485" i="2"/>
  <c r="AX486" i="2"/>
  <c r="AX487" i="2"/>
  <c r="AX488" i="2"/>
  <c r="AX489" i="2"/>
  <c r="AX490" i="2"/>
  <c r="AX491" i="2"/>
  <c r="AX492" i="2"/>
  <c r="AX493" i="2"/>
  <c r="AX494" i="2"/>
  <c r="AX495" i="2"/>
  <c r="AX496" i="2"/>
  <c r="AX497" i="2"/>
  <c r="AX498" i="2"/>
  <c r="AX499" i="2"/>
  <c r="AX500" i="2"/>
  <c r="AX501" i="2"/>
  <c r="AX502" i="2"/>
  <c r="AX503" i="2"/>
  <c r="AX504" i="2"/>
  <c r="AX505" i="2"/>
  <c r="AX506" i="2"/>
  <c r="AX507" i="2"/>
  <c r="AX508" i="2"/>
  <c r="AX509" i="2"/>
  <c r="AX510" i="2"/>
  <c r="AX511" i="2"/>
  <c r="AX512" i="2"/>
  <c r="AX513" i="2"/>
  <c r="AX514" i="2"/>
  <c r="AX515" i="2"/>
  <c r="AX516" i="2"/>
  <c r="AX517" i="2"/>
  <c r="AX518" i="2"/>
  <c r="AX519" i="2"/>
  <c r="AX520" i="2"/>
  <c r="AX521" i="2"/>
  <c r="AX522" i="2"/>
  <c r="AX523" i="2"/>
  <c r="AX524" i="2"/>
  <c r="AX525" i="2"/>
  <c r="AX526" i="2"/>
  <c r="AX527" i="2"/>
  <c r="AX528" i="2"/>
  <c r="AX529" i="2"/>
  <c r="AX530" i="2"/>
  <c r="AX531" i="2"/>
  <c r="AX532" i="2"/>
  <c r="AX533" i="2"/>
  <c r="AX534" i="2"/>
  <c r="AX535" i="2"/>
  <c r="AX536" i="2"/>
  <c r="AX537" i="2"/>
  <c r="AX538" i="2"/>
  <c r="AX539" i="2"/>
  <c r="AX540" i="2"/>
  <c r="AX541" i="2"/>
  <c r="AX542" i="2"/>
  <c r="AX543" i="2"/>
  <c r="AX544" i="2"/>
  <c r="AX545" i="2"/>
  <c r="AX546" i="2"/>
  <c r="AX547" i="2"/>
  <c r="AX548" i="2"/>
  <c r="AX549" i="2"/>
  <c r="AX550" i="2"/>
  <c r="AX551" i="2"/>
  <c r="AX552" i="2"/>
  <c r="AX553" i="2"/>
  <c r="AX554" i="2"/>
  <c r="AX555" i="2"/>
  <c r="AX556" i="2"/>
  <c r="AX557" i="2"/>
  <c r="AX558" i="2"/>
  <c r="AX559" i="2"/>
  <c r="AX560" i="2"/>
  <c r="AX561" i="2"/>
  <c r="AX562" i="2"/>
  <c r="AX563" i="2"/>
  <c r="AX564" i="2"/>
  <c r="AX565" i="2"/>
  <c r="AX566" i="2"/>
  <c r="AX567" i="2"/>
  <c r="AX568" i="2"/>
  <c r="AX569" i="2"/>
  <c r="AX570" i="2"/>
  <c r="AX571" i="2"/>
  <c r="AX572" i="2"/>
  <c r="AX573" i="2"/>
  <c r="AX574" i="2"/>
  <c r="AX575" i="2"/>
  <c r="AX576" i="2"/>
  <c r="AX577" i="2"/>
  <c r="AX578" i="2"/>
  <c r="AX579" i="2"/>
  <c r="AX580" i="2"/>
  <c r="AX581" i="2"/>
  <c r="AX582" i="2"/>
  <c r="AX583" i="2"/>
  <c r="AX584" i="2"/>
  <c r="AX585" i="2"/>
  <c r="AX586" i="2"/>
  <c r="AX587" i="2"/>
  <c r="AX588" i="2"/>
  <c r="AX589" i="2"/>
  <c r="AX590" i="2"/>
  <c r="AX591" i="2"/>
  <c r="AX592" i="2"/>
  <c r="AX593" i="2"/>
  <c r="AX594" i="2"/>
  <c r="AX595" i="2"/>
  <c r="AX596" i="2"/>
  <c r="AX597" i="2"/>
  <c r="AX598" i="2"/>
  <c r="AX599" i="2"/>
  <c r="AX600" i="2"/>
  <c r="AX601" i="2"/>
  <c r="AX602" i="2"/>
  <c r="AX603" i="2"/>
  <c r="AX604" i="2"/>
  <c r="AX605" i="2"/>
  <c r="AX606" i="2"/>
  <c r="AX607" i="2"/>
  <c r="AX608" i="2"/>
  <c r="AX609" i="2"/>
  <c r="AX610" i="2"/>
  <c r="AX611" i="2"/>
  <c r="AX612" i="2"/>
  <c r="AX613" i="2"/>
  <c r="AX614" i="2"/>
  <c r="AX615" i="2"/>
  <c r="AX616" i="2"/>
  <c r="AX617" i="2"/>
  <c r="AX618" i="2"/>
  <c r="AX619" i="2"/>
  <c r="AX620" i="2"/>
  <c r="AX621" i="2"/>
  <c r="AX622" i="2"/>
  <c r="AX623" i="2"/>
  <c r="AX624" i="2"/>
  <c r="AX625" i="2"/>
  <c r="AX626" i="2"/>
  <c r="AX627" i="2"/>
  <c r="AX628" i="2"/>
  <c r="AX629" i="2"/>
  <c r="AX630" i="2"/>
  <c r="AX631" i="2"/>
  <c r="AX632" i="2"/>
  <c r="AX633" i="2"/>
  <c r="AX634" i="2"/>
  <c r="AX635" i="2"/>
  <c r="AX636" i="2"/>
  <c r="AX637" i="2"/>
  <c r="AX638" i="2"/>
  <c r="AX639" i="2"/>
  <c r="AX641" i="2"/>
  <c r="AX642" i="2"/>
  <c r="AX643" i="2"/>
  <c r="AX644" i="2"/>
  <c r="AX645" i="2"/>
  <c r="AX646" i="2"/>
  <c r="AX647" i="2"/>
  <c r="AX648" i="2"/>
  <c r="AX649" i="2"/>
  <c r="AX650" i="2"/>
  <c r="AX651" i="2"/>
  <c r="AX652" i="2"/>
  <c r="AX653" i="2"/>
  <c r="AX654" i="2"/>
  <c r="AX656" i="2"/>
  <c r="AX658" i="2"/>
  <c r="AX659" i="2"/>
  <c r="AX660" i="2"/>
  <c r="AX661" i="2"/>
  <c r="AX662" i="2"/>
  <c r="AX663" i="2"/>
  <c r="AX664" i="2"/>
  <c r="AX665" i="2"/>
  <c r="AX666" i="2"/>
  <c r="AX667" i="2"/>
  <c r="AX668" i="2"/>
  <c r="AX669" i="2"/>
  <c r="AX670" i="2"/>
  <c r="AX671" i="2"/>
  <c r="AX672" i="2"/>
  <c r="AX673" i="2"/>
  <c r="AX674" i="2"/>
  <c r="AX675" i="2"/>
  <c r="AX676" i="2"/>
  <c r="AX677" i="2"/>
  <c r="AX678" i="2"/>
  <c r="AX679" i="2"/>
  <c r="AX680" i="2"/>
  <c r="AX681" i="2"/>
  <c r="AX682" i="2"/>
  <c r="AX683" i="2"/>
  <c r="AX684" i="2"/>
  <c r="AX685" i="2"/>
  <c r="AX686" i="2"/>
  <c r="AX687" i="2"/>
  <c r="AX688" i="2"/>
  <c r="AX689" i="2"/>
  <c r="AX690" i="2"/>
  <c r="AX691" i="2"/>
  <c r="AX692" i="2"/>
  <c r="AX693" i="2"/>
  <c r="AX694" i="2"/>
  <c r="AX695" i="2"/>
  <c r="AX696" i="2"/>
  <c r="AX697" i="2"/>
  <c r="AX698" i="2"/>
  <c r="AX699" i="2"/>
  <c r="AX700" i="2"/>
  <c r="AX701" i="2"/>
  <c r="AX702" i="2"/>
  <c r="AX703" i="2"/>
  <c r="AX704" i="2"/>
  <c r="AX705" i="2"/>
  <c r="AX706" i="2"/>
  <c r="AX707" i="2"/>
  <c r="AX708" i="2"/>
  <c r="AX709" i="2"/>
  <c r="AX710" i="2"/>
  <c r="AX711" i="2"/>
  <c r="AX712" i="2"/>
  <c r="AX713" i="2"/>
  <c r="AX714" i="2"/>
  <c r="AX715" i="2"/>
  <c r="AX716" i="2"/>
  <c r="AX717" i="2"/>
  <c r="AX718" i="2"/>
  <c r="AX719" i="2"/>
  <c r="AX720" i="2"/>
  <c r="AX721" i="2"/>
  <c r="AX722" i="2"/>
  <c r="AX723" i="2"/>
  <c r="AX724" i="2"/>
  <c r="AX725" i="2"/>
  <c r="AX726" i="2"/>
  <c r="AX727" i="2"/>
  <c r="AX728" i="2"/>
  <c r="AX729" i="2"/>
  <c r="AX730" i="2"/>
  <c r="AX731" i="2"/>
  <c r="AX732" i="2"/>
  <c r="AX733" i="2"/>
  <c r="AX734" i="2"/>
  <c r="AX735" i="2"/>
  <c r="AX736" i="2"/>
  <c r="AX737" i="2"/>
  <c r="AX738" i="2"/>
  <c r="AX739" i="2"/>
  <c r="AX740" i="2"/>
  <c r="AX741" i="2"/>
  <c r="AX742" i="2"/>
  <c r="AX743" i="2"/>
  <c r="AX744" i="2"/>
  <c r="AX745" i="2"/>
  <c r="AX746" i="2"/>
  <c r="AX747" i="2"/>
  <c r="AX748" i="2"/>
  <c r="AX749" i="2"/>
  <c r="AX750" i="2"/>
  <c r="AX751" i="2"/>
  <c r="AX752" i="2"/>
  <c r="AX753" i="2"/>
  <c r="AX754" i="2"/>
  <c r="AX755" i="2"/>
  <c r="AX756" i="2"/>
  <c r="AX757" i="2"/>
  <c r="AX758" i="2"/>
  <c r="AX759" i="2"/>
  <c r="AX760" i="2"/>
  <c r="AX761" i="2"/>
  <c r="AX762" i="2"/>
  <c r="AX763" i="2"/>
  <c r="AX764" i="2"/>
  <c r="AX765" i="2"/>
  <c r="AX766" i="2"/>
  <c r="AX767" i="2"/>
  <c r="AX768" i="2"/>
  <c r="AX769" i="2"/>
  <c r="AX770" i="2"/>
  <c r="AX771" i="2"/>
  <c r="AX772" i="2"/>
  <c r="AX773" i="2"/>
  <c r="AX774" i="2"/>
  <c r="AX775" i="2"/>
  <c r="AX776" i="2"/>
  <c r="AX777" i="2"/>
  <c r="AX778" i="2"/>
  <c r="AX779" i="2"/>
  <c r="AX780" i="2"/>
  <c r="AX781" i="2"/>
  <c r="AX782" i="2"/>
  <c r="AX783" i="2"/>
  <c r="AX784" i="2"/>
  <c r="AX785" i="2"/>
  <c r="AX786" i="2"/>
  <c r="AX787" i="2"/>
  <c r="AX788" i="2"/>
  <c r="AX789" i="2"/>
  <c r="AX790" i="2"/>
  <c r="AX791" i="2"/>
  <c r="AX792" i="2"/>
  <c r="AX793" i="2"/>
  <c r="AX794" i="2"/>
  <c r="AX795" i="2"/>
  <c r="AX796" i="2"/>
  <c r="AX797" i="2"/>
  <c r="AX798" i="2"/>
  <c r="AX799" i="2"/>
  <c r="AX800" i="2"/>
  <c r="AX801" i="2"/>
  <c r="AX802" i="2"/>
  <c r="AX803" i="2"/>
  <c r="AX804" i="2"/>
  <c r="AX805" i="2"/>
  <c r="AX806" i="2"/>
  <c r="AX807" i="2"/>
  <c r="AX808" i="2"/>
  <c r="AX809" i="2"/>
  <c r="AX810" i="2"/>
  <c r="AX811" i="2"/>
  <c r="AX812" i="2"/>
  <c r="AX813" i="2"/>
  <c r="AX814" i="2"/>
  <c r="AX815" i="2"/>
  <c r="AX816" i="2"/>
  <c r="AX817" i="2"/>
  <c r="AX818" i="2"/>
  <c r="AX819" i="2"/>
  <c r="AX820" i="2"/>
  <c r="AX821" i="2"/>
  <c r="AX822" i="2"/>
  <c r="AX823" i="2"/>
  <c r="AX824" i="2"/>
  <c r="AX825" i="2"/>
  <c r="AX826" i="2"/>
  <c r="AX827" i="2"/>
  <c r="AX828" i="2"/>
  <c r="AX829" i="2"/>
  <c r="AX830" i="2"/>
  <c r="AX831" i="2"/>
  <c r="AX832" i="2"/>
  <c r="AX833" i="2"/>
  <c r="AX834" i="2"/>
  <c r="AX835" i="2"/>
  <c r="AX836" i="2"/>
  <c r="AX837" i="2"/>
  <c r="AX838" i="2"/>
  <c r="AX839" i="2"/>
  <c r="AX841" i="2"/>
  <c r="AX843" i="2"/>
  <c r="AX844" i="2"/>
  <c r="AX845" i="2"/>
  <c r="AX846" i="2"/>
  <c r="AX847" i="2"/>
  <c r="AX848" i="2"/>
  <c r="AX849" i="2"/>
  <c r="AX850" i="2"/>
  <c r="AX851" i="2"/>
  <c r="AX852" i="2"/>
  <c r="AX853" i="2"/>
  <c r="AX854" i="2"/>
  <c r="AX855" i="2"/>
  <c r="AX856" i="2"/>
  <c r="AX857" i="2"/>
  <c r="AX858" i="2"/>
  <c r="AX859" i="2"/>
  <c r="AX860" i="2"/>
  <c r="AX861" i="2"/>
  <c r="AX862" i="2"/>
  <c r="AX863" i="2"/>
  <c r="AX864" i="2"/>
  <c r="AX865" i="2"/>
  <c r="AX866" i="2"/>
  <c r="AX867" i="2"/>
  <c r="AX868" i="2"/>
  <c r="AX869" i="2"/>
  <c r="AX870" i="2"/>
  <c r="AX871" i="2"/>
  <c r="AX872" i="2"/>
  <c r="AX873" i="2"/>
  <c r="AX874" i="2"/>
  <c r="AX875" i="2"/>
  <c r="AX876" i="2"/>
  <c r="AX877" i="2"/>
  <c r="AX878" i="2"/>
  <c r="AX879" i="2"/>
  <c r="AX880" i="2"/>
  <c r="AX881" i="2"/>
  <c r="AX882" i="2"/>
  <c r="AX883" i="2"/>
  <c r="AX884" i="2"/>
  <c r="AX885" i="2"/>
  <c r="AX886" i="2"/>
  <c r="AX887" i="2"/>
  <c r="AX888" i="2"/>
  <c r="AX889" i="2"/>
  <c r="AX890" i="2"/>
  <c r="AX891" i="2"/>
  <c r="AX892" i="2"/>
  <c r="AX893" i="2"/>
  <c r="AX894" i="2"/>
  <c r="AX895" i="2"/>
  <c r="AX896" i="2"/>
  <c r="AX897" i="2"/>
  <c r="AX898" i="2"/>
  <c r="AX899" i="2"/>
  <c r="AX900" i="2"/>
  <c r="AX901" i="2"/>
  <c r="AX902" i="2"/>
  <c r="AX903" i="2"/>
  <c r="AX904" i="2"/>
  <c r="AX905" i="2"/>
  <c r="AX906" i="2"/>
  <c r="AX907" i="2"/>
  <c r="AX908" i="2"/>
  <c r="AX909" i="2"/>
  <c r="AX910" i="2"/>
  <c r="AX911" i="2"/>
  <c r="AX912" i="2"/>
  <c r="AX913" i="2"/>
  <c r="AX914" i="2"/>
  <c r="AX915" i="2"/>
  <c r="AX916" i="2"/>
  <c r="AX917" i="2"/>
  <c r="AS4" i="2"/>
  <c r="AT4" i="2"/>
  <c r="AU4" i="2"/>
  <c r="AV4" i="2"/>
  <c r="AS5" i="2"/>
  <c r="AT5" i="2"/>
  <c r="AU5" i="2"/>
  <c r="AV5" i="2"/>
  <c r="AS6" i="2"/>
  <c r="AT6" i="2"/>
  <c r="AU6" i="2"/>
  <c r="AV6" i="2"/>
  <c r="AS7" i="2"/>
  <c r="AT7" i="2"/>
  <c r="AU7" i="2"/>
  <c r="AV7" i="2"/>
  <c r="AS8" i="2"/>
  <c r="AT8" i="2"/>
  <c r="AU8" i="2"/>
  <c r="AV8" i="2"/>
  <c r="AS9" i="2"/>
  <c r="AT9" i="2"/>
  <c r="AU9" i="2"/>
  <c r="AV9" i="2"/>
  <c r="AS10" i="2"/>
  <c r="AT10" i="2"/>
  <c r="AU10" i="2"/>
  <c r="AV10" i="2"/>
  <c r="AS11" i="2"/>
  <c r="AT11" i="2"/>
  <c r="AU11" i="2"/>
  <c r="AV11" i="2"/>
  <c r="AS12" i="2"/>
  <c r="AT12" i="2"/>
  <c r="AU12" i="2"/>
  <c r="AV12" i="2"/>
  <c r="AS13" i="2"/>
  <c r="AT13" i="2"/>
  <c r="AU13" i="2"/>
  <c r="AV13" i="2"/>
  <c r="AS14" i="2"/>
  <c r="AT14" i="2"/>
  <c r="AU14" i="2"/>
  <c r="AV14" i="2"/>
  <c r="AS15" i="2"/>
  <c r="AT15" i="2"/>
  <c r="AU15" i="2"/>
  <c r="AV15" i="2"/>
  <c r="AS16" i="2"/>
  <c r="AT16" i="2"/>
  <c r="AU16" i="2"/>
  <c r="AV16" i="2"/>
  <c r="AS17" i="2"/>
  <c r="AT17" i="2"/>
  <c r="AU17" i="2"/>
  <c r="AV17" i="2"/>
  <c r="AS18" i="2"/>
  <c r="AT18" i="2"/>
  <c r="AU18" i="2"/>
  <c r="AV18" i="2"/>
  <c r="AS19" i="2"/>
  <c r="AT19" i="2"/>
  <c r="AU19" i="2"/>
  <c r="AV19" i="2"/>
  <c r="AS20" i="2"/>
  <c r="AT20" i="2"/>
  <c r="AU20" i="2"/>
  <c r="AV20" i="2"/>
  <c r="AS21" i="2"/>
  <c r="AT21" i="2"/>
  <c r="AU21" i="2"/>
  <c r="AV21" i="2"/>
  <c r="AS22" i="2"/>
  <c r="AT22" i="2"/>
  <c r="AU22" i="2"/>
  <c r="AV22" i="2"/>
  <c r="AS23" i="2"/>
  <c r="AT23" i="2"/>
  <c r="AU23" i="2"/>
  <c r="AV23" i="2"/>
  <c r="AS24" i="2"/>
  <c r="AT24" i="2"/>
  <c r="AU24" i="2"/>
  <c r="AV24" i="2"/>
  <c r="AS25" i="2"/>
  <c r="AT25" i="2"/>
  <c r="AU25" i="2"/>
  <c r="AV25" i="2"/>
  <c r="AS26" i="2"/>
  <c r="AT26" i="2"/>
  <c r="AU26" i="2"/>
  <c r="AV26" i="2"/>
  <c r="AS27" i="2"/>
  <c r="AT27" i="2"/>
  <c r="AU27" i="2"/>
  <c r="AV27" i="2"/>
  <c r="AS28" i="2"/>
  <c r="AT28" i="2"/>
  <c r="AU28" i="2"/>
  <c r="AV28" i="2"/>
  <c r="AS29" i="2"/>
  <c r="AT29" i="2"/>
  <c r="AU29" i="2"/>
  <c r="AV29" i="2"/>
  <c r="AS30" i="2"/>
  <c r="AT30" i="2"/>
  <c r="AU30" i="2"/>
  <c r="AV30" i="2"/>
  <c r="AS31" i="2"/>
  <c r="AT31" i="2"/>
  <c r="AU31" i="2"/>
  <c r="AV31" i="2"/>
  <c r="AS32" i="2"/>
  <c r="AT32" i="2"/>
  <c r="AU32" i="2"/>
  <c r="AV32" i="2"/>
  <c r="AS33" i="2"/>
  <c r="AT33" i="2"/>
  <c r="AU33" i="2"/>
  <c r="AV33" i="2"/>
  <c r="AS34" i="2"/>
  <c r="AT34" i="2"/>
  <c r="AU34" i="2"/>
  <c r="AV34" i="2"/>
  <c r="AS35" i="2"/>
  <c r="AT35" i="2"/>
  <c r="AU35" i="2"/>
  <c r="AV35" i="2"/>
  <c r="AS36" i="2"/>
  <c r="AT36" i="2"/>
  <c r="AU36" i="2"/>
  <c r="AV36" i="2"/>
  <c r="AS37" i="2"/>
  <c r="AT37" i="2"/>
  <c r="AU37" i="2"/>
  <c r="AV37" i="2"/>
  <c r="AS38" i="2"/>
  <c r="AT38" i="2"/>
  <c r="AU38" i="2"/>
  <c r="AV38" i="2"/>
  <c r="AS39" i="2"/>
  <c r="AT39" i="2"/>
  <c r="AU39" i="2"/>
  <c r="AV39" i="2"/>
  <c r="AS40" i="2"/>
  <c r="AT40" i="2"/>
  <c r="AU40" i="2"/>
  <c r="AV40" i="2"/>
  <c r="AS41" i="2"/>
  <c r="AT41" i="2"/>
  <c r="AU41" i="2"/>
  <c r="AV41" i="2"/>
  <c r="AS42" i="2"/>
  <c r="AT42" i="2"/>
  <c r="AU42" i="2"/>
  <c r="AV42" i="2"/>
  <c r="AS43" i="2"/>
  <c r="AT43" i="2"/>
  <c r="AU43" i="2"/>
  <c r="AV43" i="2"/>
  <c r="AS44" i="2"/>
  <c r="AT44" i="2"/>
  <c r="AU44" i="2"/>
  <c r="AV44" i="2"/>
  <c r="AS45" i="2"/>
  <c r="AT45" i="2"/>
  <c r="AU45" i="2"/>
  <c r="AV45" i="2"/>
  <c r="AS46" i="2"/>
  <c r="AT46" i="2"/>
  <c r="AU46" i="2"/>
  <c r="AV46" i="2"/>
  <c r="AS47" i="2"/>
  <c r="AT47" i="2"/>
  <c r="AU47" i="2"/>
  <c r="AV47" i="2"/>
  <c r="AS48" i="2"/>
  <c r="AT48" i="2"/>
  <c r="AU48" i="2"/>
  <c r="AV48" i="2"/>
  <c r="AS49" i="2"/>
  <c r="AT49" i="2"/>
  <c r="AU49" i="2"/>
  <c r="AV49" i="2"/>
  <c r="AS50" i="2"/>
  <c r="AT50" i="2"/>
  <c r="AU50" i="2"/>
  <c r="AV50" i="2"/>
  <c r="AS51" i="2"/>
  <c r="AT51" i="2"/>
  <c r="AU51" i="2"/>
  <c r="AV51" i="2"/>
  <c r="AS52" i="2"/>
  <c r="AT52" i="2"/>
  <c r="AU52" i="2"/>
  <c r="AV52" i="2"/>
  <c r="AS53" i="2"/>
  <c r="AT53" i="2"/>
  <c r="AU53" i="2"/>
  <c r="AV53" i="2"/>
  <c r="AS54" i="2"/>
  <c r="AT54" i="2"/>
  <c r="AU54" i="2"/>
  <c r="AV54" i="2"/>
  <c r="AS55" i="2"/>
  <c r="AT55" i="2"/>
  <c r="AU55" i="2"/>
  <c r="AV55" i="2"/>
  <c r="AS56" i="2"/>
  <c r="AT56" i="2"/>
  <c r="AU56" i="2"/>
  <c r="AV56" i="2"/>
  <c r="AS57" i="2"/>
  <c r="AT57" i="2"/>
  <c r="AU57" i="2"/>
  <c r="AV57" i="2"/>
  <c r="AS58" i="2"/>
  <c r="AT58" i="2"/>
  <c r="AU58" i="2"/>
  <c r="AV58" i="2"/>
  <c r="AS59" i="2"/>
  <c r="AT59" i="2"/>
  <c r="AU59" i="2"/>
  <c r="AV59" i="2"/>
  <c r="AS60" i="2"/>
  <c r="AT60" i="2"/>
  <c r="AU60" i="2"/>
  <c r="AV60" i="2"/>
  <c r="AS61" i="2"/>
  <c r="AT61" i="2"/>
  <c r="AU61" i="2"/>
  <c r="AV61" i="2"/>
  <c r="AS62" i="2"/>
  <c r="AT62" i="2"/>
  <c r="AU62" i="2"/>
  <c r="AV62" i="2"/>
  <c r="AS63" i="2"/>
  <c r="AT63" i="2"/>
  <c r="AU63" i="2"/>
  <c r="AV63" i="2"/>
  <c r="AS64" i="2"/>
  <c r="AT64" i="2"/>
  <c r="AU64" i="2"/>
  <c r="AV64" i="2"/>
  <c r="AS65" i="2"/>
  <c r="AT65" i="2"/>
  <c r="AU65" i="2"/>
  <c r="AV65" i="2"/>
  <c r="AS66" i="2"/>
  <c r="AT66" i="2"/>
  <c r="AU66" i="2"/>
  <c r="AV66" i="2"/>
  <c r="AS67" i="2"/>
  <c r="AT67" i="2"/>
  <c r="AU67" i="2"/>
  <c r="AV67" i="2"/>
  <c r="AS68" i="2"/>
  <c r="AT68" i="2"/>
  <c r="AU68" i="2"/>
  <c r="AV68" i="2"/>
  <c r="AS69" i="2"/>
  <c r="AT69" i="2"/>
  <c r="AU69" i="2"/>
  <c r="AV69" i="2"/>
  <c r="AS70" i="2"/>
  <c r="AT70" i="2"/>
  <c r="AU70" i="2"/>
  <c r="AV70" i="2"/>
  <c r="AS71" i="2"/>
  <c r="AT71" i="2"/>
  <c r="AU71" i="2"/>
  <c r="AV71" i="2"/>
  <c r="AS72" i="2"/>
  <c r="AT72" i="2"/>
  <c r="AU72" i="2"/>
  <c r="AV72" i="2"/>
  <c r="AS73" i="2"/>
  <c r="AT73" i="2"/>
  <c r="AU73" i="2"/>
  <c r="AV73" i="2"/>
  <c r="AS74" i="2"/>
  <c r="AT74" i="2"/>
  <c r="AU74" i="2"/>
  <c r="AV74" i="2"/>
  <c r="AS75" i="2"/>
  <c r="AT75" i="2"/>
  <c r="AU75" i="2"/>
  <c r="AV75" i="2"/>
  <c r="AS76" i="2"/>
  <c r="AT76" i="2"/>
  <c r="AU76" i="2"/>
  <c r="AV76" i="2"/>
  <c r="AS77" i="2"/>
  <c r="AT77" i="2"/>
  <c r="AU77" i="2"/>
  <c r="AV77" i="2"/>
  <c r="AS78" i="2"/>
  <c r="AT78" i="2"/>
  <c r="AU78" i="2"/>
  <c r="AV78" i="2"/>
  <c r="AS79" i="2"/>
  <c r="AT79" i="2"/>
  <c r="AU79" i="2"/>
  <c r="AV79" i="2"/>
  <c r="AS80" i="2"/>
  <c r="AT80" i="2"/>
  <c r="AU80" i="2"/>
  <c r="AV80" i="2"/>
  <c r="AS81" i="2"/>
  <c r="AT81" i="2"/>
  <c r="AU81" i="2"/>
  <c r="AV81" i="2"/>
  <c r="AS82" i="2"/>
  <c r="AT82" i="2"/>
  <c r="AU82" i="2"/>
  <c r="AV82" i="2"/>
  <c r="AS83" i="2"/>
  <c r="AT83" i="2"/>
  <c r="AU83" i="2"/>
  <c r="AV83" i="2"/>
  <c r="AS84" i="2"/>
  <c r="AT84" i="2"/>
  <c r="AU84" i="2"/>
  <c r="AV84" i="2"/>
  <c r="AS85" i="2"/>
  <c r="AT85" i="2"/>
  <c r="AU85" i="2"/>
  <c r="AV85" i="2"/>
  <c r="AS86" i="2"/>
  <c r="AT86" i="2"/>
  <c r="AU86" i="2"/>
  <c r="AV86" i="2"/>
  <c r="AS87" i="2"/>
  <c r="AT87" i="2"/>
  <c r="AU87" i="2"/>
  <c r="AV87" i="2"/>
  <c r="AS88" i="2"/>
  <c r="AT88" i="2"/>
  <c r="AU88" i="2"/>
  <c r="AV88" i="2"/>
  <c r="AS89" i="2"/>
  <c r="AT89" i="2"/>
  <c r="AU89" i="2"/>
  <c r="AV89" i="2"/>
  <c r="AS90" i="2"/>
  <c r="AT90" i="2"/>
  <c r="AU90" i="2"/>
  <c r="AV90" i="2"/>
  <c r="AS91" i="2"/>
  <c r="AT91" i="2"/>
  <c r="AU91" i="2"/>
  <c r="AV91" i="2"/>
  <c r="AS92" i="2"/>
  <c r="AT92" i="2"/>
  <c r="AU92" i="2"/>
  <c r="AV92" i="2"/>
  <c r="AS93" i="2"/>
  <c r="AT93" i="2"/>
  <c r="AU93" i="2"/>
  <c r="AV93" i="2"/>
  <c r="AS94" i="2"/>
  <c r="AT94" i="2"/>
  <c r="AU94" i="2"/>
  <c r="AV94" i="2"/>
  <c r="AS95" i="2"/>
  <c r="AT95" i="2"/>
  <c r="AU95" i="2"/>
  <c r="AV95" i="2"/>
  <c r="AS96" i="2"/>
  <c r="AT96" i="2"/>
  <c r="AU96" i="2"/>
  <c r="AV96" i="2"/>
  <c r="AS97" i="2"/>
  <c r="AT97" i="2"/>
  <c r="AU97" i="2"/>
  <c r="AV97" i="2"/>
  <c r="AS98" i="2"/>
  <c r="AT98" i="2"/>
  <c r="AU98" i="2"/>
  <c r="AV98" i="2"/>
  <c r="AS99" i="2"/>
  <c r="AT99" i="2"/>
  <c r="AU99" i="2"/>
  <c r="AV99" i="2"/>
  <c r="AS100" i="2"/>
  <c r="AT100" i="2"/>
  <c r="AU100" i="2"/>
  <c r="AV100" i="2"/>
  <c r="AS101" i="2"/>
  <c r="AT101" i="2"/>
  <c r="AU101" i="2"/>
  <c r="AV101" i="2"/>
  <c r="AS102" i="2"/>
  <c r="AT102" i="2"/>
  <c r="AU102" i="2"/>
  <c r="AV102" i="2"/>
  <c r="AS103" i="2"/>
  <c r="AT103" i="2"/>
  <c r="AU103" i="2"/>
  <c r="AV103" i="2"/>
  <c r="AS104" i="2"/>
  <c r="AT104" i="2"/>
  <c r="AU104" i="2"/>
  <c r="AV104" i="2"/>
  <c r="AS105" i="2"/>
  <c r="AT105" i="2"/>
  <c r="AU105" i="2"/>
  <c r="AV105" i="2"/>
  <c r="AS106" i="2"/>
  <c r="AT106" i="2"/>
  <c r="AU106" i="2"/>
  <c r="AV106" i="2"/>
  <c r="AS107" i="2"/>
  <c r="AT107" i="2"/>
  <c r="AU107" i="2"/>
  <c r="AV107" i="2"/>
  <c r="AS108" i="2"/>
  <c r="AT108" i="2"/>
  <c r="AU108" i="2"/>
  <c r="AV108" i="2"/>
  <c r="AS109" i="2"/>
  <c r="AT109" i="2"/>
  <c r="AU109" i="2"/>
  <c r="AV109" i="2"/>
  <c r="AS110" i="2"/>
  <c r="AT110" i="2"/>
  <c r="AU110" i="2"/>
  <c r="AV110" i="2"/>
  <c r="AS111" i="2"/>
  <c r="AT111" i="2"/>
  <c r="AU111" i="2"/>
  <c r="AV111" i="2"/>
  <c r="AS112" i="2"/>
  <c r="AT112" i="2"/>
  <c r="AU112" i="2"/>
  <c r="AV112" i="2"/>
  <c r="AS113" i="2"/>
  <c r="AT113" i="2"/>
  <c r="AU113" i="2"/>
  <c r="AV113" i="2"/>
  <c r="AS114" i="2"/>
  <c r="AT114" i="2"/>
  <c r="AU114" i="2"/>
  <c r="AV114" i="2"/>
  <c r="AS115" i="2"/>
  <c r="AT115" i="2"/>
  <c r="AU115" i="2"/>
  <c r="AV115" i="2"/>
  <c r="AS116" i="2"/>
  <c r="AT116" i="2"/>
  <c r="AU116" i="2"/>
  <c r="AV116" i="2"/>
  <c r="AS117" i="2"/>
  <c r="AT117" i="2"/>
  <c r="AU117" i="2"/>
  <c r="AV117" i="2"/>
  <c r="AS118" i="2"/>
  <c r="AT118" i="2"/>
  <c r="AU118" i="2"/>
  <c r="AV118" i="2"/>
  <c r="AS119" i="2"/>
  <c r="AT119" i="2"/>
  <c r="AU119" i="2"/>
  <c r="AV119" i="2"/>
  <c r="AS120" i="2"/>
  <c r="AT120" i="2"/>
  <c r="AU120" i="2"/>
  <c r="AV120" i="2"/>
  <c r="AS121" i="2"/>
  <c r="AT121" i="2"/>
  <c r="AU121" i="2"/>
  <c r="AV121" i="2"/>
  <c r="AS122" i="2"/>
  <c r="AT122" i="2"/>
  <c r="AU122" i="2"/>
  <c r="AV122" i="2"/>
  <c r="AS123" i="2"/>
  <c r="AT123" i="2"/>
  <c r="AU123" i="2"/>
  <c r="AV123" i="2"/>
  <c r="AS124" i="2"/>
  <c r="AT124" i="2"/>
  <c r="AU124" i="2"/>
  <c r="AV124" i="2"/>
  <c r="AS125" i="2"/>
  <c r="AT125" i="2"/>
  <c r="AU125" i="2"/>
  <c r="AV125" i="2"/>
  <c r="AS126" i="2"/>
  <c r="AT126" i="2"/>
  <c r="AU126" i="2"/>
  <c r="AV126" i="2"/>
  <c r="AS127" i="2"/>
  <c r="AT127" i="2"/>
  <c r="AU127" i="2"/>
  <c r="AV127" i="2"/>
  <c r="AS128" i="2"/>
  <c r="AT128" i="2"/>
  <c r="AU128" i="2"/>
  <c r="AV128" i="2"/>
  <c r="AS129" i="2"/>
  <c r="AT129" i="2"/>
  <c r="AU129" i="2"/>
  <c r="AV129" i="2"/>
  <c r="AS130" i="2"/>
  <c r="AT130" i="2"/>
  <c r="AU130" i="2"/>
  <c r="AV130" i="2"/>
  <c r="AS131" i="2"/>
  <c r="AT131" i="2"/>
  <c r="AU131" i="2"/>
  <c r="AV131" i="2"/>
  <c r="AS132" i="2"/>
  <c r="AT132" i="2"/>
  <c r="AU132" i="2"/>
  <c r="AV132" i="2"/>
  <c r="AS133" i="2"/>
  <c r="AT133" i="2"/>
  <c r="AU133" i="2"/>
  <c r="AV133" i="2"/>
  <c r="AS134" i="2"/>
  <c r="AT134" i="2"/>
  <c r="AU134" i="2"/>
  <c r="AV134" i="2"/>
  <c r="AS135" i="2"/>
  <c r="AT135" i="2"/>
  <c r="AU135" i="2"/>
  <c r="AV135" i="2"/>
  <c r="AS136" i="2"/>
  <c r="AT136" i="2"/>
  <c r="AU136" i="2"/>
  <c r="AV136" i="2"/>
  <c r="AS137" i="2"/>
  <c r="AT137" i="2"/>
  <c r="AU137" i="2"/>
  <c r="AV137" i="2"/>
  <c r="AS138" i="2"/>
  <c r="AT138" i="2"/>
  <c r="AU138" i="2"/>
  <c r="AV138" i="2"/>
  <c r="AS139" i="2"/>
  <c r="AT139" i="2"/>
  <c r="AU139" i="2"/>
  <c r="AV139" i="2"/>
  <c r="AS140" i="2"/>
  <c r="AT140" i="2"/>
  <c r="AU140" i="2"/>
  <c r="AV140" i="2"/>
  <c r="AS141" i="2"/>
  <c r="AT141" i="2"/>
  <c r="AU141" i="2"/>
  <c r="AV141" i="2"/>
  <c r="AS142" i="2"/>
  <c r="AT142" i="2"/>
  <c r="AU142" i="2"/>
  <c r="AV142" i="2"/>
  <c r="AS143" i="2"/>
  <c r="AT143" i="2"/>
  <c r="AU143" i="2"/>
  <c r="AV143" i="2"/>
  <c r="AS144" i="2"/>
  <c r="AT144" i="2"/>
  <c r="AU144" i="2"/>
  <c r="AV144" i="2"/>
  <c r="AS145" i="2"/>
  <c r="AT145" i="2"/>
  <c r="AU145" i="2"/>
  <c r="AV145" i="2"/>
  <c r="AS146" i="2"/>
  <c r="AT146" i="2"/>
  <c r="AU146" i="2"/>
  <c r="AV146" i="2"/>
  <c r="AS147" i="2"/>
  <c r="AT147" i="2"/>
  <c r="AU147" i="2"/>
  <c r="AV147" i="2"/>
  <c r="AS148" i="2"/>
  <c r="AT148" i="2"/>
  <c r="AU148" i="2"/>
  <c r="AV148" i="2"/>
  <c r="AS149" i="2"/>
  <c r="AT149" i="2"/>
  <c r="AU149" i="2"/>
  <c r="AV149" i="2"/>
  <c r="AS150" i="2"/>
  <c r="AT150" i="2"/>
  <c r="AU150" i="2"/>
  <c r="AV150" i="2"/>
  <c r="AS151" i="2"/>
  <c r="AT151" i="2"/>
  <c r="AU151" i="2"/>
  <c r="AV151" i="2"/>
  <c r="AS152" i="2"/>
  <c r="AT152" i="2"/>
  <c r="AU152" i="2"/>
  <c r="AV152" i="2"/>
  <c r="AS153" i="2"/>
  <c r="AT153" i="2"/>
  <c r="AU153" i="2"/>
  <c r="AV153" i="2"/>
  <c r="AS154" i="2"/>
  <c r="AT154" i="2"/>
  <c r="AU154" i="2"/>
  <c r="AV154" i="2"/>
  <c r="AS155" i="2"/>
  <c r="AT155" i="2"/>
  <c r="AU155" i="2"/>
  <c r="AV155" i="2"/>
  <c r="AS156" i="2"/>
  <c r="AT156" i="2"/>
  <c r="AU156" i="2"/>
  <c r="AV156" i="2"/>
  <c r="AS157" i="2"/>
  <c r="AT157" i="2"/>
  <c r="AU157" i="2"/>
  <c r="AV157" i="2"/>
  <c r="AS158" i="2"/>
  <c r="AT158" i="2"/>
  <c r="AU158" i="2"/>
  <c r="AV158" i="2"/>
  <c r="AS159" i="2"/>
  <c r="AT159" i="2"/>
  <c r="AU159" i="2"/>
  <c r="AV159" i="2"/>
  <c r="AS160" i="2"/>
  <c r="AT160" i="2"/>
  <c r="AU160" i="2"/>
  <c r="AV160" i="2"/>
  <c r="AS161" i="2"/>
  <c r="AT161" i="2"/>
  <c r="AU161" i="2"/>
  <c r="AV161" i="2"/>
  <c r="AS162" i="2"/>
  <c r="AT162" i="2"/>
  <c r="AU162" i="2"/>
  <c r="AV162" i="2"/>
  <c r="AS163" i="2"/>
  <c r="AT163" i="2"/>
  <c r="AU163" i="2"/>
  <c r="AV163" i="2"/>
  <c r="AS164" i="2"/>
  <c r="AT164" i="2"/>
  <c r="AU164" i="2"/>
  <c r="AV164" i="2"/>
  <c r="AS165" i="2"/>
  <c r="AT165" i="2"/>
  <c r="AU165" i="2"/>
  <c r="AV165" i="2"/>
  <c r="AS166" i="2"/>
  <c r="AT166" i="2"/>
  <c r="AU166" i="2"/>
  <c r="AV166" i="2"/>
  <c r="AS167" i="2"/>
  <c r="AT167" i="2"/>
  <c r="AU167" i="2"/>
  <c r="AV167" i="2"/>
  <c r="AS168" i="2"/>
  <c r="AT168" i="2"/>
  <c r="AU168" i="2"/>
  <c r="AV168" i="2"/>
  <c r="AS169" i="2"/>
  <c r="AT169" i="2"/>
  <c r="AU169" i="2"/>
  <c r="AV169" i="2"/>
  <c r="AS170" i="2"/>
  <c r="AT170" i="2"/>
  <c r="AU170" i="2"/>
  <c r="AV170" i="2"/>
  <c r="AS171" i="2"/>
  <c r="AT171" i="2"/>
  <c r="AU171" i="2"/>
  <c r="AV171" i="2"/>
  <c r="AS172" i="2"/>
  <c r="AT172" i="2"/>
  <c r="AU172" i="2"/>
  <c r="AV172" i="2"/>
  <c r="AS173" i="2"/>
  <c r="AT173" i="2"/>
  <c r="AU173" i="2"/>
  <c r="AV173" i="2"/>
  <c r="AS174" i="2"/>
  <c r="AT174" i="2"/>
  <c r="AU174" i="2"/>
  <c r="AV174" i="2"/>
  <c r="AS175" i="2"/>
  <c r="AT175" i="2"/>
  <c r="AU175" i="2"/>
  <c r="AV175" i="2"/>
  <c r="AS176" i="2"/>
  <c r="AT176" i="2"/>
  <c r="AU176" i="2"/>
  <c r="AV176" i="2"/>
  <c r="AS177" i="2"/>
  <c r="AT177" i="2"/>
  <c r="AU177" i="2"/>
  <c r="AV177" i="2"/>
  <c r="AS178" i="2"/>
  <c r="AT178" i="2"/>
  <c r="AU178" i="2"/>
  <c r="AV178" i="2"/>
  <c r="AS179" i="2"/>
  <c r="AT179" i="2"/>
  <c r="AU179" i="2"/>
  <c r="AV179" i="2"/>
  <c r="AS180" i="2"/>
  <c r="AT180" i="2"/>
  <c r="AU180" i="2"/>
  <c r="AV180" i="2"/>
  <c r="AS181" i="2"/>
  <c r="AT181" i="2"/>
  <c r="AU181" i="2"/>
  <c r="AV181" i="2"/>
  <c r="AS182" i="2"/>
  <c r="AT182" i="2"/>
  <c r="AU182" i="2"/>
  <c r="AV182" i="2"/>
  <c r="AS183" i="2"/>
  <c r="AT183" i="2"/>
  <c r="AU183" i="2"/>
  <c r="AV183" i="2"/>
  <c r="AS184" i="2"/>
  <c r="AT184" i="2"/>
  <c r="AU184" i="2"/>
  <c r="AV184" i="2"/>
  <c r="AS185" i="2"/>
  <c r="AT185" i="2"/>
  <c r="AU185" i="2"/>
  <c r="AV185" i="2"/>
  <c r="AS186" i="2"/>
  <c r="AT186" i="2"/>
  <c r="AU186" i="2"/>
  <c r="AV186" i="2"/>
  <c r="AS187" i="2"/>
  <c r="AT187" i="2"/>
  <c r="AU187" i="2"/>
  <c r="AV187" i="2"/>
  <c r="AS188" i="2"/>
  <c r="AT188" i="2"/>
  <c r="AU188" i="2"/>
  <c r="AV188" i="2"/>
  <c r="AS189" i="2"/>
  <c r="AT189" i="2"/>
  <c r="AU189" i="2"/>
  <c r="AV189" i="2"/>
  <c r="AS190" i="2"/>
  <c r="AT190" i="2"/>
  <c r="AU190" i="2"/>
  <c r="AV190" i="2"/>
  <c r="AS191" i="2"/>
  <c r="AT191" i="2"/>
  <c r="AU191" i="2"/>
  <c r="AV191" i="2"/>
  <c r="AS192" i="2"/>
  <c r="AT192" i="2"/>
  <c r="AU192" i="2"/>
  <c r="AV192" i="2"/>
  <c r="AS193" i="2"/>
  <c r="AT193" i="2"/>
  <c r="AU193" i="2"/>
  <c r="AV193" i="2"/>
  <c r="AS194" i="2"/>
  <c r="AT194" i="2"/>
  <c r="AU194" i="2"/>
  <c r="AV194" i="2"/>
  <c r="AS195" i="2"/>
  <c r="AT195" i="2"/>
  <c r="AU195" i="2"/>
  <c r="AV195" i="2"/>
  <c r="AS196" i="2"/>
  <c r="AT196" i="2"/>
  <c r="AU196" i="2"/>
  <c r="AV196" i="2"/>
  <c r="AS197" i="2"/>
  <c r="AT197" i="2"/>
  <c r="AU197" i="2"/>
  <c r="AV197" i="2"/>
  <c r="AS198" i="2"/>
  <c r="AT198" i="2"/>
  <c r="AU198" i="2"/>
  <c r="AV198" i="2"/>
  <c r="AS199" i="2"/>
  <c r="AT199" i="2"/>
  <c r="AU199" i="2"/>
  <c r="AV199" i="2"/>
  <c r="AS200" i="2"/>
  <c r="AT200" i="2"/>
  <c r="AU200" i="2"/>
  <c r="AV200" i="2"/>
  <c r="AS201" i="2"/>
  <c r="AT201" i="2"/>
  <c r="AU201" i="2"/>
  <c r="AV201" i="2"/>
  <c r="AS202" i="2"/>
  <c r="AT202" i="2"/>
  <c r="AU202" i="2"/>
  <c r="AV202" i="2"/>
  <c r="AS203" i="2"/>
  <c r="AT203" i="2"/>
  <c r="AU203" i="2"/>
  <c r="AV203" i="2"/>
  <c r="AS204" i="2"/>
  <c r="AT204" i="2"/>
  <c r="AU204" i="2"/>
  <c r="AV204" i="2"/>
  <c r="AS205" i="2"/>
  <c r="AT205" i="2"/>
  <c r="AU205" i="2"/>
  <c r="AV205" i="2"/>
  <c r="AS206" i="2"/>
  <c r="AT206" i="2"/>
  <c r="AU206" i="2"/>
  <c r="AV206" i="2"/>
  <c r="AS207" i="2"/>
  <c r="AT207" i="2"/>
  <c r="AU207" i="2"/>
  <c r="AV207" i="2"/>
  <c r="AS208" i="2"/>
  <c r="AT208" i="2"/>
  <c r="AU208" i="2"/>
  <c r="AV208" i="2"/>
  <c r="AS209" i="2"/>
  <c r="AT209" i="2"/>
  <c r="AU209" i="2"/>
  <c r="AV209" i="2"/>
  <c r="AS210" i="2"/>
  <c r="AT210" i="2"/>
  <c r="AU210" i="2"/>
  <c r="AV210" i="2"/>
  <c r="AS211" i="2"/>
  <c r="AT211" i="2"/>
  <c r="AU211" i="2"/>
  <c r="AV211" i="2"/>
  <c r="AS212" i="2"/>
  <c r="AT212" i="2"/>
  <c r="AU212" i="2"/>
  <c r="AV212" i="2"/>
  <c r="AS213" i="2"/>
  <c r="AT213" i="2"/>
  <c r="AU213" i="2"/>
  <c r="AV213" i="2"/>
  <c r="AS214" i="2"/>
  <c r="AT214" i="2"/>
  <c r="AU214" i="2"/>
  <c r="AV214" i="2"/>
  <c r="AS215" i="2"/>
  <c r="AT215" i="2"/>
  <c r="AU215" i="2"/>
  <c r="AV215" i="2"/>
  <c r="AS216" i="2"/>
  <c r="AT216" i="2"/>
  <c r="AU216" i="2"/>
  <c r="AV216" i="2"/>
  <c r="AS217" i="2"/>
  <c r="AT217" i="2"/>
  <c r="AU217" i="2"/>
  <c r="AV217" i="2"/>
  <c r="AS218" i="2"/>
  <c r="AT218" i="2"/>
  <c r="AU218" i="2"/>
  <c r="AV218" i="2"/>
  <c r="AS219" i="2"/>
  <c r="AT219" i="2"/>
  <c r="AU219" i="2"/>
  <c r="AV219" i="2"/>
  <c r="AS220" i="2"/>
  <c r="AT220" i="2"/>
  <c r="AU220" i="2"/>
  <c r="AV220" i="2"/>
  <c r="AS221" i="2"/>
  <c r="AT221" i="2"/>
  <c r="AU221" i="2"/>
  <c r="AV221" i="2"/>
  <c r="AS222" i="2"/>
  <c r="AT222" i="2"/>
  <c r="AU222" i="2"/>
  <c r="AV222" i="2"/>
  <c r="AS223" i="2"/>
  <c r="AT223" i="2"/>
  <c r="AU223" i="2"/>
  <c r="AV223" i="2"/>
  <c r="AS224" i="2"/>
  <c r="AT224" i="2"/>
  <c r="AU224" i="2"/>
  <c r="AV224" i="2"/>
  <c r="AS225" i="2"/>
  <c r="AT225" i="2"/>
  <c r="AU225" i="2"/>
  <c r="AV225" i="2"/>
  <c r="AS226" i="2"/>
  <c r="AT226" i="2"/>
  <c r="AU226" i="2"/>
  <c r="AV226" i="2"/>
  <c r="AS227" i="2"/>
  <c r="AT227" i="2"/>
  <c r="AU227" i="2"/>
  <c r="AV227" i="2"/>
  <c r="AS228" i="2"/>
  <c r="AT228" i="2"/>
  <c r="AU228" i="2"/>
  <c r="AV228" i="2"/>
  <c r="AS229" i="2"/>
  <c r="AT229" i="2"/>
  <c r="AU229" i="2"/>
  <c r="AV229" i="2"/>
  <c r="AS230" i="2"/>
  <c r="AT230" i="2"/>
  <c r="AU230" i="2"/>
  <c r="AV230" i="2"/>
  <c r="AS231" i="2"/>
  <c r="AT231" i="2"/>
  <c r="AU231" i="2"/>
  <c r="AV231" i="2"/>
  <c r="AS232" i="2"/>
  <c r="AT232" i="2"/>
  <c r="AU232" i="2"/>
  <c r="AV232" i="2"/>
  <c r="AS233" i="2"/>
  <c r="AT233" i="2"/>
  <c r="AU233" i="2"/>
  <c r="AV233" i="2"/>
  <c r="AS234" i="2"/>
  <c r="AT234" i="2"/>
  <c r="AU234" i="2"/>
  <c r="AV234" i="2"/>
  <c r="AS235" i="2"/>
  <c r="AT235" i="2"/>
  <c r="AU235" i="2"/>
  <c r="AV235" i="2"/>
  <c r="AS236" i="2"/>
  <c r="AT236" i="2"/>
  <c r="AU236" i="2"/>
  <c r="AV236" i="2"/>
  <c r="AS237" i="2"/>
  <c r="AT237" i="2"/>
  <c r="AU237" i="2"/>
  <c r="AV237" i="2"/>
  <c r="AS238" i="2"/>
  <c r="AT238" i="2"/>
  <c r="AU238" i="2"/>
  <c r="AV238" i="2"/>
  <c r="AS239" i="2"/>
  <c r="AT239" i="2"/>
  <c r="AU239" i="2"/>
  <c r="AV239" i="2"/>
  <c r="AS240" i="2"/>
  <c r="AT240" i="2"/>
  <c r="AU240" i="2"/>
  <c r="AV240" i="2"/>
  <c r="AS241" i="2"/>
  <c r="AT241" i="2"/>
  <c r="AU241" i="2"/>
  <c r="AV241" i="2"/>
  <c r="AS242" i="2"/>
  <c r="AT242" i="2"/>
  <c r="AU242" i="2"/>
  <c r="AV242" i="2"/>
  <c r="AS243" i="2"/>
  <c r="AT243" i="2"/>
  <c r="AU243" i="2"/>
  <c r="AV243" i="2"/>
  <c r="AS244" i="2"/>
  <c r="AT244" i="2"/>
  <c r="AU244" i="2"/>
  <c r="AV244" i="2"/>
  <c r="AS245" i="2"/>
  <c r="AT245" i="2"/>
  <c r="AU245" i="2"/>
  <c r="AV245" i="2"/>
  <c r="AS246" i="2"/>
  <c r="AT246" i="2"/>
  <c r="AU246" i="2"/>
  <c r="AV246" i="2"/>
  <c r="AS247" i="2"/>
  <c r="AT247" i="2"/>
  <c r="AU247" i="2"/>
  <c r="AV247" i="2"/>
  <c r="AS248" i="2"/>
  <c r="AT248" i="2"/>
  <c r="AU248" i="2"/>
  <c r="AV248" i="2"/>
  <c r="AS249" i="2"/>
  <c r="AT249" i="2"/>
  <c r="AU249" i="2"/>
  <c r="AV249" i="2"/>
  <c r="AS250" i="2"/>
  <c r="AT250" i="2"/>
  <c r="AU250" i="2"/>
  <c r="AV250" i="2"/>
  <c r="AS251" i="2"/>
  <c r="AT251" i="2"/>
  <c r="AU251" i="2"/>
  <c r="AV251" i="2"/>
  <c r="AS252" i="2"/>
  <c r="AT252" i="2"/>
  <c r="AU252" i="2"/>
  <c r="AV252" i="2"/>
  <c r="AS253" i="2"/>
  <c r="AT253" i="2"/>
  <c r="AU253" i="2"/>
  <c r="AV253" i="2"/>
  <c r="AS254" i="2"/>
  <c r="AT254" i="2"/>
  <c r="AU254" i="2"/>
  <c r="AV254" i="2"/>
  <c r="AS255" i="2"/>
  <c r="AT255" i="2"/>
  <c r="AU255" i="2"/>
  <c r="AV255" i="2"/>
  <c r="AS256" i="2"/>
  <c r="AT256" i="2"/>
  <c r="AU256" i="2"/>
  <c r="AV256" i="2"/>
  <c r="AS257" i="2"/>
  <c r="AT257" i="2"/>
  <c r="AU257" i="2"/>
  <c r="AV257" i="2"/>
  <c r="AS258" i="2"/>
  <c r="AT258" i="2"/>
  <c r="AU258" i="2"/>
  <c r="AV258" i="2"/>
  <c r="AS259" i="2"/>
  <c r="AT259" i="2"/>
  <c r="AU259" i="2"/>
  <c r="AV259" i="2"/>
  <c r="AS260" i="2"/>
  <c r="AT260" i="2"/>
  <c r="AU260" i="2"/>
  <c r="AV260" i="2"/>
  <c r="AS261" i="2"/>
  <c r="AT261" i="2"/>
  <c r="AU261" i="2"/>
  <c r="AV261" i="2"/>
  <c r="AS262" i="2"/>
  <c r="AT262" i="2"/>
  <c r="AU262" i="2"/>
  <c r="AV262" i="2"/>
  <c r="AS263" i="2"/>
  <c r="AT263" i="2"/>
  <c r="AU263" i="2"/>
  <c r="AV263" i="2"/>
  <c r="AS264" i="2"/>
  <c r="AT264" i="2"/>
  <c r="AU264" i="2"/>
  <c r="AV264" i="2"/>
  <c r="AS265" i="2"/>
  <c r="AT265" i="2"/>
  <c r="AU265" i="2"/>
  <c r="AV265" i="2"/>
  <c r="AS266" i="2"/>
  <c r="AT266" i="2"/>
  <c r="AU266" i="2"/>
  <c r="AV266" i="2"/>
  <c r="AS267" i="2"/>
  <c r="AT267" i="2"/>
  <c r="AU267" i="2"/>
  <c r="AV267" i="2"/>
  <c r="AS268" i="2"/>
  <c r="AT268" i="2"/>
  <c r="AU268" i="2"/>
  <c r="AV268" i="2"/>
  <c r="AS269" i="2"/>
  <c r="AT269" i="2"/>
  <c r="AU269" i="2"/>
  <c r="AV269" i="2"/>
  <c r="AS270" i="2"/>
  <c r="AT270" i="2"/>
  <c r="AU270" i="2"/>
  <c r="AV270" i="2"/>
  <c r="AS271" i="2"/>
  <c r="AT271" i="2"/>
  <c r="AU271" i="2"/>
  <c r="AV271" i="2"/>
  <c r="AS272" i="2"/>
  <c r="AT272" i="2"/>
  <c r="AU272" i="2"/>
  <c r="AV272" i="2"/>
  <c r="AS273" i="2"/>
  <c r="AT273" i="2"/>
  <c r="AU273" i="2"/>
  <c r="AV273" i="2"/>
  <c r="AS274" i="2"/>
  <c r="AT274" i="2"/>
  <c r="AU274" i="2"/>
  <c r="AV274" i="2"/>
  <c r="AS275" i="2"/>
  <c r="AT275" i="2"/>
  <c r="AU275" i="2"/>
  <c r="AV275" i="2"/>
  <c r="AS276" i="2"/>
  <c r="AT276" i="2"/>
  <c r="AU276" i="2"/>
  <c r="AV276" i="2"/>
  <c r="AS277" i="2"/>
  <c r="AT277" i="2"/>
  <c r="AU277" i="2"/>
  <c r="AV277" i="2"/>
  <c r="AS278" i="2"/>
  <c r="AT278" i="2"/>
  <c r="AU278" i="2"/>
  <c r="AV278" i="2"/>
  <c r="AS279" i="2"/>
  <c r="AT279" i="2"/>
  <c r="AU279" i="2"/>
  <c r="AV279" i="2"/>
  <c r="AS280" i="2"/>
  <c r="AT280" i="2"/>
  <c r="AU280" i="2"/>
  <c r="AV280" i="2"/>
  <c r="AS281" i="2"/>
  <c r="AT281" i="2"/>
  <c r="AU281" i="2"/>
  <c r="AV281" i="2"/>
  <c r="AS282" i="2"/>
  <c r="AT282" i="2"/>
  <c r="AU282" i="2"/>
  <c r="AV282" i="2"/>
  <c r="AS283" i="2"/>
  <c r="AT283" i="2"/>
  <c r="AU283" i="2"/>
  <c r="AV283" i="2"/>
  <c r="AS284" i="2"/>
  <c r="AT284" i="2"/>
  <c r="AU284" i="2"/>
  <c r="AV284" i="2"/>
  <c r="AS285" i="2"/>
  <c r="AT285" i="2"/>
  <c r="AU285" i="2"/>
  <c r="AV285" i="2"/>
  <c r="AS286" i="2"/>
  <c r="AT286" i="2"/>
  <c r="AU286" i="2"/>
  <c r="AV286" i="2"/>
  <c r="AS287" i="2"/>
  <c r="AT287" i="2"/>
  <c r="AU287" i="2"/>
  <c r="AV287" i="2"/>
  <c r="AS288" i="2"/>
  <c r="AT288" i="2"/>
  <c r="AU288" i="2"/>
  <c r="AV288" i="2"/>
  <c r="AS289" i="2"/>
  <c r="AT289" i="2"/>
  <c r="AU289" i="2"/>
  <c r="AV289" i="2"/>
  <c r="AS290" i="2"/>
  <c r="AT290" i="2"/>
  <c r="AU290" i="2"/>
  <c r="AV290" i="2"/>
  <c r="AS291" i="2"/>
  <c r="AT291" i="2"/>
  <c r="AU291" i="2"/>
  <c r="AV291" i="2"/>
  <c r="AS292" i="2"/>
  <c r="AT292" i="2"/>
  <c r="AU292" i="2"/>
  <c r="AV292" i="2"/>
  <c r="AS293" i="2"/>
  <c r="AT293" i="2"/>
  <c r="AU293" i="2"/>
  <c r="AV293" i="2"/>
  <c r="AS294" i="2"/>
  <c r="AT294" i="2"/>
  <c r="AU294" i="2"/>
  <c r="AV294" i="2"/>
  <c r="AS295" i="2"/>
  <c r="AT295" i="2"/>
  <c r="AU295" i="2"/>
  <c r="AV295" i="2"/>
  <c r="AS296" i="2"/>
  <c r="AT296" i="2"/>
  <c r="AU296" i="2"/>
  <c r="AV296" i="2"/>
  <c r="AS297" i="2"/>
  <c r="AT297" i="2"/>
  <c r="AU297" i="2"/>
  <c r="AV297" i="2"/>
  <c r="AS298" i="2"/>
  <c r="AT298" i="2"/>
  <c r="AU298" i="2"/>
  <c r="AV298" i="2"/>
  <c r="AS299" i="2"/>
  <c r="AT299" i="2"/>
  <c r="AU299" i="2"/>
  <c r="AV299" i="2"/>
  <c r="AS300" i="2"/>
  <c r="AT300" i="2"/>
  <c r="AU300" i="2"/>
  <c r="AV300" i="2"/>
  <c r="AS301" i="2"/>
  <c r="AT301" i="2"/>
  <c r="AU301" i="2"/>
  <c r="AV301" i="2"/>
  <c r="AS302" i="2"/>
  <c r="AT302" i="2"/>
  <c r="AU302" i="2"/>
  <c r="AV302" i="2"/>
  <c r="AS303" i="2"/>
  <c r="AT303" i="2"/>
  <c r="AU303" i="2"/>
  <c r="AV303" i="2"/>
  <c r="AS304" i="2"/>
  <c r="AT304" i="2"/>
  <c r="AU304" i="2"/>
  <c r="AV304" i="2"/>
  <c r="AS305" i="2"/>
  <c r="AT305" i="2"/>
  <c r="AU305" i="2"/>
  <c r="AV305" i="2"/>
  <c r="AS306" i="2"/>
  <c r="AT306" i="2"/>
  <c r="AU306" i="2"/>
  <c r="AV306" i="2"/>
  <c r="AS307" i="2"/>
  <c r="AT307" i="2"/>
  <c r="AU307" i="2"/>
  <c r="AV307" i="2"/>
  <c r="AS308" i="2"/>
  <c r="AT308" i="2"/>
  <c r="AU308" i="2"/>
  <c r="AV308" i="2"/>
  <c r="AS309" i="2"/>
  <c r="AT309" i="2"/>
  <c r="AU309" i="2"/>
  <c r="AV309" i="2"/>
  <c r="AS310" i="2"/>
  <c r="AT310" i="2"/>
  <c r="AU310" i="2"/>
  <c r="AV310" i="2"/>
  <c r="AS311" i="2"/>
  <c r="AT311" i="2"/>
  <c r="AU311" i="2"/>
  <c r="AV311" i="2"/>
  <c r="AS312" i="2"/>
  <c r="AT312" i="2"/>
  <c r="AU312" i="2"/>
  <c r="AV312" i="2"/>
  <c r="AS313" i="2"/>
  <c r="AT313" i="2"/>
  <c r="AU313" i="2"/>
  <c r="AV313" i="2"/>
  <c r="AS314" i="2"/>
  <c r="AT314" i="2"/>
  <c r="AU314" i="2"/>
  <c r="AV314" i="2"/>
  <c r="AS315" i="2"/>
  <c r="AT315" i="2"/>
  <c r="AU315" i="2"/>
  <c r="AV315" i="2"/>
  <c r="AS316" i="2"/>
  <c r="AT316" i="2"/>
  <c r="AU316" i="2"/>
  <c r="AV316" i="2"/>
  <c r="AS317" i="2"/>
  <c r="AT317" i="2"/>
  <c r="AU317" i="2"/>
  <c r="AV317" i="2"/>
  <c r="AS318" i="2"/>
  <c r="AT318" i="2"/>
  <c r="AU318" i="2"/>
  <c r="AV318" i="2"/>
  <c r="AS319" i="2"/>
  <c r="AT319" i="2"/>
  <c r="AU319" i="2"/>
  <c r="AV319" i="2"/>
  <c r="AS320" i="2"/>
  <c r="AT320" i="2"/>
  <c r="AU320" i="2"/>
  <c r="AV320" i="2"/>
  <c r="AS321" i="2"/>
  <c r="AT321" i="2"/>
  <c r="AU321" i="2"/>
  <c r="AV321" i="2"/>
  <c r="AS322" i="2"/>
  <c r="AT322" i="2"/>
  <c r="AU322" i="2"/>
  <c r="AV322" i="2"/>
  <c r="AS323" i="2"/>
  <c r="AT323" i="2"/>
  <c r="AU323" i="2"/>
  <c r="AV323" i="2"/>
  <c r="AS324" i="2"/>
  <c r="AT324" i="2"/>
  <c r="AU324" i="2"/>
  <c r="AV324" i="2"/>
  <c r="AS325" i="2"/>
  <c r="AT325" i="2"/>
  <c r="AU325" i="2"/>
  <c r="AV325" i="2"/>
  <c r="AS326" i="2"/>
  <c r="AT326" i="2"/>
  <c r="AU326" i="2"/>
  <c r="AV326" i="2"/>
  <c r="AS327" i="2"/>
  <c r="AT327" i="2"/>
  <c r="AU327" i="2"/>
  <c r="AV327" i="2"/>
  <c r="AS328" i="2"/>
  <c r="AT328" i="2"/>
  <c r="AU328" i="2"/>
  <c r="AV328" i="2"/>
  <c r="AS329" i="2"/>
  <c r="AT329" i="2"/>
  <c r="AU329" i="2"/>
  <c r="AV329" i="2"/>
  <c r="AS330" i="2"/>
  <c r="AT330" i="2"/>
  <c r="AU330" i="2"/>
  <c r="AV330" i="2"/>
  <c r="AS331" i="2"/>
  <c r="AT331" i="2"/>
  <c r="AU331" i="2"/>
  <c r="AV331" i="2"/>
  <c r="AS332" i="2"/>
  <c r="AT332" i="2"/>
  <c r="AU332" i="2"/>
  <c r="AV332" i="2"/>
  <c r="AS333" i="2"/>
  <c r="AT333" i="2"/>
  <c r="AU333" i="2"/>
  <c r="AV333" i="2"/>
  <c r="AS334" i="2"/>
  <c r="AT334" i="2"/>
  <c r="AU334" i="2"/>
  <c r="AV334" i="2"/>
  <c r="AS335" i="2"/>
  <c r="AT335" i="2"/>
  <c r="AU335" i="2"/>
  <c r="AV335" i="2"/>
  <c r="AS336" i="2"/>
  <c r="AT336" i="2"/>
  <c r="AU336" i="2"/>
  <c r="AV336" i="2"/>
  <c r="AS337" i="2"/>
  <c r="AT337" i="2"/>
  <c r="AU337" i="2"/>
  <c r="AV337" i="2"/>
  <c r="AS338" i="2"/>
  <c r="AT338" i="2"/>
  <c r="AU338" i="2"/>
  <c r="AV338" i="2"/>
  <c r="AS339" i="2"/>
  <c r="AT339" i="2"/>
  <c r="AU339" i="2"/>
  <c r="AV339" i="2"/>
  <c r="AS340" i="2"/>
  <c r="AT340" i="2"/>
  <c r="AU340" i="2"/>
  <c r="AV340" i="2"/>
  <c r="AS341" i="2"/>
  <c r="AT341" i="2"/>
  <c r="AU341" i="2"/>
  <c r="AV341" i="2"/>
  <c r="AS342" i="2"/>
  <c r="AT342" i="2"/>
  <c r="AU342" i="2"/>
  <c r="AV342" i="2"/>
  <c r="AS343" i="2"/>
  <c r="AT343" i="2"/>
  <c r="AU343" i="2"/>
  <c r="AV343" i="2"/>
  <c r="AS344" i="2"/>
  <c r="AT344" i="2"/>
  <c r="AU344" i="2"/>
  <c r="AV344" i="2"/>
  <c r="AS345" i="2"/>
  <c r="AT345" i="2"/>
  <c r="AU345" i="2"/>
  <c r="AV345" i="2"/>
  <c r="AS346" i="2"/>
  <c r="AT346" i="2"/>
  <c r="AU346" i="2"/>
  <c r="AV346" i="2"/>
  <c r="AS347" i="2"/>
  <c r="AT347" i="2"/>
  <c r="AU347" i="2"/>
  <c r="AV347" i="2"/>
  <c r="AS348" i="2"/>
  <c r="AT348" i="2"/>
  <c r="AU348" i="2"/>
  <c r="AV348" i="2"/>
  <c r="AS349" i="2"/>
  <c r="AT349" i="2"/>
  <c r="AU349" i="2"/>
  <c r="AV349" i="2"/>
  <c r="AS350" i="2"/>
  <c r="AT350" i="2"/>
  <c r="AU350" i="2"/>
  <c r="AV350" i="2"/>
  <c r="AS351" i="2"/>
  <c r="AT351" i="2"/>
  <c r="AU351" i="2"/>
  <c r="AV351" i="2"/>
  <c r="AS352" i="2"/>
  <c r="AT352" i="2"/>
  <c r="AU352" i="2"/>
  <c r="AV352" i="2"/>
  <c r="AS353" i="2"/>
  <c r="AT353" i="2"/>
  <c r="AU353" i="2"/>
  <c r="AV353" i="2"/>
  <c r="AS354" i="2"/>
  <c r="AT354" i="2"/>
  <c r="AU354" i="2"/>
  <c r="AV354" i="2"/>
  <c r="AS355" i="2"/>
  <c r="AT355" i="2"/>
  <c r="AU355" i="2"/>
  <c r="AV355" i="2"/>
  <c r="AS356" i="2"/>
  <c r="AT356" i="2"/>
  <c r="AU356" i="2"/>
  <c r="AV356" i="2"/>
  <c r="AS357" i="2"/>
  <c r="AT357" i="2"/>
  <c r="AU357" i="2"/>
  <c r="AV357" i="2"/>
  <c r="AS358" i="2"/>
  <c r="AT358" i="2"/>
  <c r="AU358" i="2"/>
  <c r="AV358" i="2"/>
  <c r="AS359" i="2"/>
  <c r="AT359" i="2"/>
  <c r="AU359" i="2"/>
  <c r="AV359" i="2"/>
  <c r="AS360" i="2"/>
  <c r="AT360" i="2"/>
  <c r="AU360" i="2"/>
  <c r="AV360" i="2"/>
  <c r="AS361" i="2"/>
  <c r="AT361" i="2"/>
  <c r="AU361" i="2"/>
  <c r="AV361" i="2"/>
  <c r="AS362" i="2"/>
  <c r="AT362" i="2"/>
  <c r="AU362" i="2"/>
  <c r="AV362" i="2"/>
  <c r="AS363" i="2"/>
  <c r="AT363" i="2"/>
  <c r="AU363" i="2"/>
  <c r="AV363" i="2"/>
  <c r="AS364" i="2"/>
  <c r="AT364" i="2"/>
  <c r="AU364" i="2"/>
  <c r="AV364" i="2"/>
  <c r="AS365" i="2"/>
  <c r="AT365" i="2"/>
  <c r="AU365" i="2"/>
  <c r="AV365" i="2"/>
  <c r="AS366" i="2"/>
  <c r="AT366" i="2"/>
  <c r="AU366" i="2"/>
  <c r="AV366" i="2"/>
  <c r="AS367" i="2"/>
  <c r="AT367" i="2"/>
  <c r="AU367" i="2"/>
  <c r="AV367" i="2"/>
  <c r="AS368" i="2"/>
  <c r="AT368" i="2"/>
  <c r="AU368" i="2"/>
  <c r="AV368" i="2"/>
  <c r="AS369" i="2"/>
  <c r="AT369" i="2"/>
  <c r="AU369" i="2"/>
  <c r="AV369" i="2"/>
  <c r="AS370" i="2"/>
  <c r="AT370" i="2"/>
  <c r="AU370" i="2"/>
  <c r="AV370" i="2"/>
  <c r="AS371" i="2"/>
  <c r="AT371" i="2"/>
  <c r="AU371" i="2"/>
  <c r="AV371" i="2"/>
  <c r="AS372" i="2"/>
  <c r="AT372" i="2"/>
  <c r="AU372" i="2"/>
  <c r="AV372" i="2"/>
  <c r="AS373" i="2"/>
  <c r="AT373" i="2"/>
  <c r="AU373" i="2"/>
  <c r="AV373" i="2"/>
  <c r="AS374" i="2"/>
  <c r="AT374" i="2"/>
  <c r="AU374" i="2"/>
  <c r="AV374" i="2"/>
  <c r="AS375" i="2"/>
  <c r="AT375" i="2"/>
  <c r="AU375" i="2"/>
  <c r="AV375" i="2"/>
  <c r="AS376" i="2"/>
  <c r="AT376" i="2"/>
  <c r="AU376" i="2"/>
  <c r="AV376" i="2"/>
  <c r="AS377" i="2"/>
  <c r="AT377" i="2"/>
  <c r="AU377" i="2"/>
  <c r="AV377" i="2"/>
  <c r="AS378" i="2"/>
  <c r="AT378" i="2"/>
  <c r="AU378" i="2"/>
  <c r="AV378" i="2"/>
  <c r="AS379" i="2"/>
  <c r="AT379" i="2"/>
  <c r="AU379" i="2"/>
  <c r="AV379" i="2"/>
  <c r="AS380" i="2"/>
  <c r="AT380" i="2"/>
  <c r="AU380" i="2"/>
  <c r="AV380" i="2"/>
  <c r="AS381" i="2"/>
  <c r="AT381" i="2"/>
  <c r="AU381" i="2"/>
  <c r="AV381" i="2"/>
  <c r="AS382" i="2"/>
  <c r="AT382" i="2"/>
  <c r="AU382" i="2"/>
  <c r="AV382" i="2"/>
  <c r="AS383" i="2"/>
  <c r="AT383" i="2"/>
  <c r="AU383" i="2"/>
  <c r="AV383" i="2"/>
  <c r="AS384" i="2"/>
  <c r="AT384" i="2"/>
  <c r="AU384" i="2"/>
  <c r="AV384" i="2"/>
  <c r="AS385" i="2"/>
  <c r="AT385" i="2"/>
  <c r="AU385" i="2"/>
  <c r="AV385" i="2"/>
  <c r="AS386" i="2"/>
  <c r="AT386" i="2"/>
  <c r="AU386" i="2"/>
  <c r="AV386" i="2"/>
  <c r="AS387" i="2"/>
  <c r="AT387" i="2"/>
  <c r="AU387" i="2"/>
  <c r="AV387" i="2"/>
  <c r="AS388" i="2"/>
  <c r="AT388" i="2"/>
  <c r="AU388" i="2"/>
  <c r="AV388" i="2"/>
  <c r="AS389" i="2"/>
  <c r="AT389" i="2"/>
  <c r="AU389" i="2"/>
  <c r="AV389" i="2"/>
  <c r="AS390" i="2"/>
  <c r="AT390" i="2"/>
  <c r="AU390" i="2"/>
  <c r="AV390" i="2"/>
  <c r="AS391" i="2"/>
  <c r="AT391" i="2"/>
  <c r="AU391" i="2"/>
  <c r="AV391" i="2"/>
  <c r="AS392" i="2"/>
  <c r="AT392" i="2"/>
  <c r="AU392" i="2"/>
  <c r="AV392" i="2"/>
  <c r="AS393" i="2"/>
  <c r="AT393" i="2"/>
  <c r="AU393" i="2"/>
  <c r="AV393" i="2"/>
  <c r="AS394" i="2"/>
  <c r="AT394" i="2"/>
  <c r="AU394" i="2"/>
  <c r="AV394" i="2"/>
  <c r="AS395" i="2"/>
  <c r="AT395" i="2"/>
  <c r="AU395" i="2"/>
  <c r="AV395" i="2"/>
  <c r="AS396" i="2"/>
  <c r="AT396" i="2"/>
  <c r="AU396" i="2"/>
  <c r="AV396" i="2"/>
  <c r="AS397" i="2"/>
  <c r="AT397" i="2"/>
  <c r="AU397" i="2"/>
  <c r="AV397" i="2"/>
  <c r="AS398" i="2"/>
  <c r="AT398" i="2"/>
  <c r="AU398" i="2"/>
  <c r="AV398" i="2"/>
  <c r="AS399" i="2"/>
  <c r="AT399" i="2"/>
  <c r="AU399" i="2"/>
  <c r="AV399" i="2"/>
  <c r="AS400" i="2"/>
  <c r="AT400" i="2"/>
  <c r="AU400" i="2"/>
  <c r="AV400" i="2"/>
  <c r="AS401" i="2"/>
  <c r="AT401" i="2"/>
  <c r="AU401" i="2"/>
  <c r="AV401" i="2"/>
  <c r="AS402" i="2"/>
  <c r="AT402" i="2"/>
  <c r="AU402" i="2"/>
  <c r="AV402" i="2"/>
  <c r="AS403" i="2"/>
  <c r="AT403" i="2"/>
  <c r="AU403" i="2"/>
  <c r="AV403" i="2"/>
  <c r="AS404" i="2"/>
  <c r="AT404" i="2"/>
  <c r="AU404" i="2"/>
  <c r="AV404" i="2"/>
  <c r="AS405" i="2"/>
  <c r="AT405" i="2"/>
  <c r="AU405" i="2"/>
  <c r="AV405" i="2"/>
  <c r="AS406" i="2"/>
  <c r="AT406" i="2"/>
  <c r="AU406" i="2"/>
  <c r="AV406" i="2"/>
  <c r="AS407" i="2"/>
  <c r="AT407" i="2"/>
  <c r="AU407" i="2"/>
  <c r="AV407" i="2"/>
  <c r="AS408" i="2"/>
  <c r="AT408" i="2"/>
  <c r="AU408" i="2"/>
  <c r="AV408" i="2"/>
  <c r="AS409" i="2"/>
  <c r="AT409" i="2"/>
  <c r="AU409" i="2"/>
  <c r="AV409" i="2"/>
  <c r="AS410" i="2"/>
  <c r="AT410" i="2"/>
  <c r="AU410" i="2"/>
  <c r="AV410" i="2"/>
  <c r="AS411" i="2"/>
  <c r="AT411" i="2"/>
  <c r="AU411" i="2"/>
  <c r="AV411" i="2"/>
  <c r="AS412" i="2"/>
  <c r="AT412" i="2"/>
  <c r="AU412" i="2"/>
  <c r="AV412" i="2"/>
  <c r="AS413" i="2"/>
  <c r="AT413" i="2"/>
  <c r="AU413" i="2"/>
  <c r="AV413" i="2"/>
  <c r="AS414" i="2"/>
  <c r="AT414" i="2"/>
  <c r="AU414" i="2"/>
  <c r="AV414" i="2"/>
  <c r="AS415" i="2"/>
  <c r="AT415" i="2"/>
  <c r="AU415" i="2"/>
  <c r="AV415" i="2"/>
  <c r="AS416" i="2"/>
  <c r="AT416" i="2"/>
  <c r="AU416" i="2"/>
  <c r="AV416" i="2"/>
  <c r="AS417" i="2"/>
  <c r="AT417" i="2"/>
  <c r="AU417" i="2"/>
  <c r="AV417" i="2"/>
  <c r="AS418" i="2"/>
  <c r="AT418" i="2"/>
  <c r="AU418" i="2"/>
  <c r="AV418" i="2"/>
  <c r="AS419" i="2"/>
  <c r="AT419" i="2"/>
  <c r="AU419" i="2"/>
  <c r="AV419" i="2"/>
  <c r="AS420" i="2"/>
  <c r="AT420" i="2"/>
  <c r="AU420" i="2"/>
  <c r="AV420" i="2"/>
  <c r="AS421" i="2"/>
  <c r="AT421" i="2"/>
  <c r="AU421" i="2"/>
  <c r="AV421" i="2"/>
  <c r="AS422" i="2"/>
  <c r="AT422" i="2"/>
  <c r="AU422" i="2"/>
  <c r="AV422" i="2"/>
  <c r="AS423" i="2"/>
  <c r="AT423" i="2"/>
  <c r="AU423" i="2"/>
  <c r="AV423" i="2"/>
  <c r="AS424" i="2"/>
  <c r="AT424" i="2"/>
  <c r="AU424" i="2"/>
  <c r="AV424" i="2"/>
  <c r="AS425" i="2"/>
  <c r="AT425" i="2"/>
  <c r="AU425" i="2"/>
  <c r="AV425" i="2"/>
  <c r="AS426" i="2"/>
  <c r="AT426" i="2"/>
  <c r="AU426" i="2"/>
  <c r="AV426" i="2"/>
  <c r="AS427" i="2"/>
  <c r="AT427" i="2"/>
  <c r="AU427" i="2"/>
  <c r="AV427" i="2"/>
  <c r="AS428" i="2"/>
  <c r="AT428" i="2"/>
  <c r="AU428" i="2"/>
  <c r="AV428" i="2"/>
  <c r="AS429" i="2"/>
  <c r="AT429" i="2"/>
  <c r="AU429" i="2"/>
  <c r="AV429" i="2"/>
  <c r="AS430" i="2"/>
  <c r="AT430" i="2"/>
  <c r="AU430" i="2"/>
  <c r="AV430" i="2"/>
  <c r="AS431" i="2"/>
  <c r="AT431" i="2"/>
  <c r="AU431" i="2"/>
  <c r="AV431" i="2"/>
  <c r="AS432" i="2"/>
  <c r="AT432" i="2"/>
  <c r="AU432" i="2"/>
  <c r="AV432" i="2"/>
  <c r="AS433" i="2"/>
  <c r="AT433" i="2"/>
  <c r="AU433" i="2"/>
  <c r="AV433" i="2"/>
  <c r="AS434" i="2"/>
  <c r="AT434" i="2"/>
  <c r="AU434" i="2"/>
  <c r="AV434" i="2"/>
  <c r="AS435" i="2"/>
  <c r="AT435" i="2"/>
  <c r="AU435" i="2"/>
  <c r="AV435" i="2"/>
  <c r="AS436" i="2"/>
  <c r="AT436" i="2"/>
  <c r="AU436" i="2"/>
  <c r="AV436" i="2"/>
  <c r="AS437" i="2"/>
  <c r="AT437" i="2"/>
  <c r="AU437" i="2"/>
  <c r="AV437" i="2"/>
  <c r="AS438" i="2"/>
  <c r="AT438" i="2"/>
  <c r="AU438" i="2"/>
  <c r="AV438" i="2"/>
  <c r="AS439" i="2"/>
  <c r="AT439" i="2"/>
  <c r="AU439" i="2"/>
  <c r="AV439" i="2"/>
  <c r="AS440" i="2"/>
  <c r="AT440" i="2"/>
  <c r="AU440" i="2"/>
  <c r="AV440" i="2"/>
  <c r="AS441" i="2"/>
  <c r="AT441" i="2"/>
  <c r="AU441" i="2"/>
  <c r="AV441" i="2"/>
  <c r="AS442" i="2"/>
  <c r="AT442" i="2"/>
  <c r="AU442" i="2"/>
  <c r="AV442" i="2"/>
  <c r="AS443" i="2"/>
  <c r="AT443" i="2"/>
  <c r="AU443" i="2"/>
  <c r="AV443" i="2"/>
  <c r="AS444" i="2"/>
  <c r="AT444" i="2"/>
  <c r="AU444" i="2"/>
  <c r="AV444" i="2"/>
  <c r="AS445" i="2"/>
  <c r="AT445" i="2"/>
  <c r="AU445" i="2"/>
  <c r="AV445" i="2"/>
  <c r="AS446" i="2"/>
  <c r="AT446" i="2"/>
  <c r="AU446" i="2"/>
  <c r="AV446" i="2"/>
  <c r="AS447" i="2"/>
  <c r="AT447" i="2"/>
  <c r="AU447" i="2"/>
  <c r="AV447" i="2"/>
  <c r="AS448" i="2"/>
  <c r="AT448" i="2"/>
  <c r="AU448" i="2"/>
  <c r="AV448" i="2"/>
  <c r="AS449" i="2"/>
  <c r="AT449" i="2"/>
  <c r="AU449" i="2"/>
  <c r="AV449" i="2"/>
  <c r="AS450" i="2"/>
  <c r="AT450" i="2"/>
  <c r="AU450" i="2"/>
  <c r="AV450" i="2"/>
  <c r="AS451" i="2"/>
  <c r="AT451" i="2"/>
  <c r="AU451" i="2"/>
  <c r="AV451" i="2"/>
  <c r="AS452" i="2"/>
  <c r="AT452" i="2"/>
  <c r="AU452" i="2"/>
  <c r="AV452" i="2"/>
  <c r="AS453" i="2"/>
  <c r="AT453" i="2"/>
  <c r="AU453" i="2"/>
  <c r="AV453" i="2"/>
  <c r="AS454" i="2"/>
  <c r="AT454" i="2"/>
  <c r="AU454" i="2"/>
  <c r="AV454" i="2"/>
  <c r="AS455" i="2"/>
  <c r="AT455" i="2"/>
  <c r="AU455" i="2"/>
  <c r="AV455" i="2"/>
  <c r="AS456" i="2"/>
  <c r="AT456" i="2"/>
  <c r="AU456" i="2"/>
  <c r="AV456" i="2"/>
  <c r="AS457" i="2"/>
  <c r="AT457" i="2"/>
  <c r="AU457" i="2"/>
  <c r="AV457" i="2"/>
  <c r="AS458" i="2"/>
  <c r="AT458" i="2"/>
  <c r="AU458" i="2"/>
  <c r="AV458" i="2"/>
  <c r="AS459" i="2"/>
  <c r="AT459" i="2"/>
  <c r="AU459" i="2"/>
  <c r="AV459" i="2"/>
  <c r="AS460" i="2"/>
  <c r="AT460" i="2"/>
  <c r="AU460" i="2"/>
  <c r="AV460" i="2"/>
  <c r="AS461" i="2"/>
  <c r="AT461" i="2"/>
  <c r="AU461" i="2"/>
  <c r="AV461" i="2"/>
  <c r="AS462" i="2"/>
  <c r="AT462" i="2"/>
  <c r="AU462" i="2"/>
  <c r="AV462" i="2"/>
  <c r="AS463" i="2"/>
  <c r="AT463" i="2"/>
  <c r="AU463" i="2"/>
  <c r="AV463" i="2"/>
  <c r="AS464" i="2"/>
  <c r="AT464" i="2"/>
  <c r="AU464" i="2"/>
  <c r="AV464" i="2"/>
  <c r="AS465" i="2"/>
  <c r="AT465" i="2"/>
  <c r="AU465" i="2"/>
  <c r="AV465" i="2"/>
  <c r="AS466" i="2"/>
  <c r="AT466" i="2"/>
  <c r="AU466" i="2"/>
  <c r="AV466" i="2"/>
  <c r="AS467" i="2"/>
  <c r="AT467" i="2"/>
  <c r="AU467" i="2"/>
  <c r="AV467" i="2"/>
  <c r="AS468" i="2"/>
  <c r="AT468" i="2"/>
  <c r="AU468" i="2"/>
  <c r="AV468" i="2"/>
  <c r="AS469" i="2"/>
  <c r="AT469" i="2"/>
  <c r="AU469" i="2"/>
  <c r="AV469" i="2"/>
  <c r="AS472" i="2"/>
  <c r="AT472" i="2"/>
  <c r="AU472" i="2"/>
  <c r="AV472" i="2"/>
  <c r="AS473" i="2"/>
  <c r="AT473" i="2"/>
  <c r="AU473" i="2"/>
  <c r="AV473" i="2"/>
  <c r="AS474" i="2"/>
  <c r="AT474" i="2"/>
  <c r="AU474" i="2"/>
  <c r="AV474" i="2"/>
  <c r="AS475" i="2"/>
  <c r="AT475" i="2"/>
  <c r="AU475" i="2"/>
  <c r="AV475" i="2"/>
  <c r="AS476" i="2"/>
  <c r="AT476" i="2"/>
  <c r="AU476" i="2"/>
  <c r="AV476" i="2"/>
  <c r="AS477" i="2"/>
  <c r="AT477" i="2"/>
  <c r="AU477" i="2"/>
  <c r="AV477" i="2"/>
  <c r="AS478" i="2"/>
  <c r="AT478" i="2"/>
  <c r="AU478" i="2"/>
  <c r="AV478" i="2"/>
  <c r="AS479" i="2"/>
  <c r="AT479" i="2"/>
  <c r="AU479" i="2"/>
  <c r="AV479" i="2"/>
  <c r="AS480" i="2"/>
  <c r="AT480" i="2"/>
  <c r="AU480" i="2"/>
  <c r="AV480" i="2"/>
  <c r="AS481" i="2"/>
  <c r="AT481" i="2"/>
  <c r="AU481" i="2"/>
  <c r="AV481" i="2"/>
  <c r="AS482" i="2"/>
  <c r="AT482" i="2"/>
  <c r="AU482" i="2"/>
  <c r="AV482" i="2"/>
  <c r="AS483" i="2"/>
  <c r="AT483" i="2"/>
  <c r="AU483" i="2"/>
  <c r="AV483" i="2"/>
  <c r="AS484" i="2"/>
  <c r="AT484" i="2"/>
  <c r="AU484" i="2"/>
  <c r="AV484" i="2"/>
  <c r="AS485" i="2"/>
  <c r="AT485" i="2"/>
  <c r="AU485" i="2"/>
  <c r="AV485" i="2"/>
  <c r="AS486" i="2"/>
  <c r="AT486" i="2"/>
  <c r="AU486" i="2"/>
  <c r="AV486" i="2"/>
  <c r="AS487" i="2"/>
  <c r="AT487" i="2"/>
  <c r="AU487" i="2"/>
  <c r="AV487" i="2"/>
  <c r="AS488" i="2"/>
  <c r="AT488" i="2"/>
  <c r="AU488" i="2"/>
  <c r="AV488" i="2"/>
  <c r="AS489" i="2"/>
  <c r="AT489" i="2"/>
  <c r="AU489" i="2"/>
  <c r="AV489" i="2"/>
  <c r="AS490" i="2"/>
  <c r="AT490" i="2"/>
  <c r="AU490" i="2"/>
  <c r="AV490" i="2"/>
  <c r="AS491" i="2"/>
  <c r="AT491" i="2"/>
  <c r="AU491" i="2"/>
  <c r="AV491" i="2"/>
  <c r="AS492" i="2"/>
  <c r="AT492" i="2"/>
  <c r="AU492" i="2"/>
  <c r="AV492" i="2"/>
  <c r="AS493" i="2"/>
  <c r="AT493" i="2"/>
  <c r="AU493" i="2"/>
  <c r="AV493" i="2"/>
  <c r="AS494" i="2"/>
  <c r="AT494" i="2"/>
  <c r="AU494" i="2"/>
  <c r="AV494" i="2"/>
  <c r="AS495" i="2"/>
  <c r="AT495" i="2"/>
  <c r="AU495" i="2"/>
  <c r="AV495" i="2"/>
  <c r="AS496" i="2"/>
  <c r="AT496" i="2"/>
  <c r="AU496" i="2"/>
  <c r="AV496" i="2"/>
  <c r="AS497" i="2"/>
  <c r="AT497" i="2"/>
  <c r="AU497" i="2"/>
  <c r="AV497" i="2"/>
  <c r="AS498" i="2"/>
  <c r="AT498" i="2"/>
  <c r="AU498" i="2"/>
  <c r="AV498" i="2"/>
  <c r="AS499" i="2"/>
  <c r="AT499" i="2"/>
  <c r="AU499" i="2"/>
  <c r="AV499" i="2"/>
  <c r="AS500" i="2"/>
  <c r="AT500" i="2"/>
  <c r="AU500" i="2"/>
  <c r="AV500" i="2"/>
  <c r="AS501" i="2"/>
  <c r="AT501" i="2"/>
  <c r="AU501" i="2"/>
  <c r="AV501" i="2"/>
  <c r="AS502" i="2"/>
  <c r="AT502" i="2"/>
  <c r="AU502" i="2"/>
  <c r="AV502" i="2"/>
  <c r="AS503" i="2"/>
  <c r="AT503" i="2"/>
  <c r="AU503" i="2"/>
  <c r="AV503" i="2"/>
  <c r="AS504" i="2"/>
  <c r="AT504" i="2"/>
  <c r="AU504" i="2"/>
  <c r="AV504" i="2"/>
  <c r="AS505" i="2"/>
  <c r="AT505" i="2"/>
  <c r="AU505" i="2"/>
  <c r="AV505" i="2"/>
  <c r="AS506" i="2"/>
  <c r="AT506" i="2"/>
  <c r="AU506" i="2"/>
  <c r="AV506" i="2"/>
  <c r="AS507" i="2"/>
  <c r="AT507" i="2"/>
  <c r="AU507" i="2"/>
  <c r="AV507" i="2"/>
  <c r="AS508" i="2"/>
  <c r="AT508" i="2"/>
  <c r="AU508" i="2"/>
  <c r="AV508" i="2"/>
  <c r="AS509" i="2"/>
  <c r="AT509" i="2"/>
  <c r="AU509" i="2"/>
  <c r="AV509" i="2"/>
  <c r="AS510" i="2"/>
  <c r="AT510" i="2"/>
  <c r="AU510" i="2"/>
  <c r="AV510" i="2"/>
  <c r="AS511" i="2"/>
  <c r="AT511" i="2"/>
  <c r="AU511" i="2"/>
  <c r="AV511" i="2"/>
  <c r="AS512" i="2"/>
  <c r="AT512" i="2"/>
  <c r="AU512" i="2"/>
  <c r="AV512" i="2"/>
  <c r="AS513" i="2"/>
  <c r="AT513" i="2"/>
  <c r="AU513" i="2"/>
  <c r="AV513" i="2"/>
  <c r="AS514" i="2"/>
  <c r="AT514" i="2"/>
  <c r="AU514" i="2"/>
  <c r="AV514" i="2"/>
  <c r="AS515" i="2"/>
  <c r="AT515" i="2"/>
  <c r="AU515" i="2"/>
  <c r="AV515" i="2"/>
  <c r="AS516" i="2"/>
  <c r="AT516" i="2"/>
  <c r="AU516" i="2"/>
  <c r="AV516" i="2"/>
  <c r="AS517" i="2"/>
  <c r="AT517" i="2"/>
  <c r="AU517" i="2"/>
  <c r="AV517" i="2"/>
  <c r="AS518" i="2"/>
  <c r="AT518" i="2"/>
  <c r="AU518" i="2"/>
  <c r="AV518" i="2"/>
  <c r="AS519" i="2"/>
  <c r="AT519" i="2"/>
  <c r="AU519" i="2"/>
  <c r="AV519" i="2"/>
  <c r="AS520" i="2"/>
  <c r="AT520" i="2"/>
  <c r="AU520" i="2"/>
  <c r="AV520" i="2"/>
  <c r="AS521" i="2"/>
  <c r="AT521" i="2"/>
  <c r="AU521" i="2"/>
  <c r="AV521" i="2"/>
  <c r="AS522" i="2"/>
  <c r="AT522" i="2"/>
  <c r="AU522" i="2"/>
  <c r="AV522" i="2"/>
  <c r="AS523" i="2"/>
  <c r="AT523" i="2"/>
  <c r="AU523" i="2"/>
  <c r="AV523" i="2"/>
  <c r="AS524" i="2"/>
  <c r="AT524" i="2"/>
  <c r="AU524" i="2"/>
  <c r="AV524" i="2"/>
  <c r="AS525" i="2"/>
  <c r="AT525" i="2"/>
  <c r="AU525" i="2"/>
  <c r="AV525" i="2"/>
  <c r="AS526" i="2"/>
  <c r="AT526" i="2"/>
  <c r="AU526" i="2"/>
  <c r="AV526" i="2"/>
  <c r="AS527" i="2"/>
  <c r="AT527" i="2"/>
  <c r="AU527" i="2"/>
  <c r="AV527" i="2"/>
  <c r="AS528" i="2"/>
  <c r="AT528" i="2"/>
  <c r="AU528" i="2"/>
  <c r="AV528" i="2"/>
  <c r="AS529" i="2"/>
  <c r="AT529" i="2"/>
  <c r="AU529" i="2"/>
  <c r="AV529" i="2"/>
  <c r="AS530" i="2"/>
  <c r="AT530" i="2"/>
  <c r="AU530" i="2"/>
  <c r="AV530" i="2"/>
  <c r="AS531" i="2"/>
  <c r="AT531" i="2"/>
  <c r="AU531" i="2"/>
  <c r="AV531" i="2"/>
  <c r="AS532" i="2"/>
  <c r="AT532" i="2"/>
  <c r="AU532" i="2"/>
  <c r="AV532" i="2"/>
  <c r="AS533" i="2"/>
  <c r="AT533" i="2"/>
  <c r="AU533" i="2"/>
  <c r="AV533" i="2"/>
  <c r="AS534" i="2"/>
  <c r="AT534" i="2"/>
  <c r="AU534" i="2"/>
  <c r="AV534" i="2"/>
  <c r="AS535" i="2"/>
  <c r="AT535" i="2"/>
  <c r="AU535" i="2"/>
  <c r="AV535" i="2"/>
  <c r="AS536" i="2"/>
  <c r="AT536" i="2"/>
  <c r="AU536" i="2"/>
  <c r="AV536" i="2"/>
  <c r="AS537" i="2"/>
  <c r="AT537" i="2"/>
  <c r="AU537" i="2"/>
  <c r="AV537" i="2"/>
  <c r="AS538" i="2"/>
  <c r="AT538" i="2"/>
  <c r="AU538" i="2"/>
  <c r="AV538" i="2"/>
  <c r="AS539" i="2"/>
  <c r="AT539" i="2"/>
  <c r="AU539" i="2"/>
  <c r="AV539" i="2"/>
  <c r="AS540" i="2"/>
  <c r="AT540" i="2"/>
  <c r="AU540" i="2"/>
  <c r="AV540" i="2"/>
  <c r="AS541" i="2"/>
  <c r="AT541" i="2"/>
  <c r="AU541" i="2"/>
  <c r="AV541" i="2"/>
  <c r="AS542" i="2"/>
  <c r="AT542" i="2"/>
  <c r="AU542" i="2"/>
  <c r="AV542" i="2"/>
  <c r="AS543" i="2"/>
  <c r="AT543" i="2"/>
  <c r="AU543" i="2"/>
  <c r="AV543" i="2"/>
  <c r="AS544" i="2"/>
  <c r="AT544" i="2"/>
  <c r="AU544" i="2"/>
  <c r="AV544" i="2"/>
  <c r="AS545" i="2"/>
  <c r="AT545" i="2"/>
  <c r="AU545" i="2"/>
  <c r="AV545" i="2"/>
  <c r="AS546" i="2"/>
  <c r="AT546" i="2"/>
  <c r="AU546" i="2"/>
  <c r="AV546" i="2"/>
  <c r="AS547" i="2"/>
  <c r="AT547" i="2"/>
  <c r="AU547" i="2"/>
  <c r="AV547" i="2"/>
  <c r="AS548" i="2"/>
  <c r="AT548" i="2"/>
  <c r="AU548" i="2"/>
  <c r="AV548" i="2"/>
  <c r="AS549" i="2"/>
  <c r="AT549" i="2"/>
  <c r="AU549" i="2"/>
  <c r="AV549" i="2"/>
  <c r="AS550" i="2"/>
  <c r="AT550" i="2"/>
  <c r="AU550" i="2"/>
  <c r="AV550" i="2"/>
  <c r="AS551" i="2"/>
  <c r="AT551" i="2"/>
  <c r="AU551" i="2"/>
  <c r="AV551" i="2"/>
  <c r="AS552" i="2"/>
  <c r="AT552" i="2"/>
  <c r="AU552" i="2"/>
  <c r="AV552" i="2"/>
  <c r="AS553" i="2"/>
  <c r="AT553" i="2"/>
  <c r="AU553" i="2"/>
  <c r="AV553" i="2"/>
  <c r="AS554" i="2"/>
  <c r="AT554" i="2"/>
  <c r="AU554" i="2"/>
  <c r="AV554" i="2"/>
  <c r="AS555" i="2"/>
  <c r="AT555" i="2"/>
  <c r="AU555" i="2"/>
  <c r="AV555" i="2"/>
  <c r="AS556" i="2"/>
  <c r="AT556" i="2"/>
  <c r="AU556" i="2"/>
  <c r="AV556" i="2"/>
  <c r="AS557" i="2"/>
  <c r="AT557" i="2"/>
  <c r="AU557" i="2"/>
  <c r="AV557" i="2"/>
  <c r="AS558" i="2"/>
  <c r="AT558" i="2"/>
  <c r="AU558" i="2"/>
  <c r="AV558" i="2"/>
  <c r="AS559" i="2"/>
  <c r="AT559" i="2"/>
  <c r="AU559" i="2"/>
  <c r="AV559" i="2"/>
  <c r="AS560" i="2"/>
  <c r="AT560" i="2"/>
  <c r="AU560" i="2"/>
  <c r="AV560" i="2"/>
  <c r="AS561" i="2"/>
  <c r="AT561" i="2"/>
  <c r="AU561" i="2"/>
  <c r="AV561" i="2"/>
  <c r="AS562" i="2"/>
  <c r="AT562" i="2"/>
  <c r="AU562" i="2"/>
  <c r="AV562" i="2"/>
  <c r="AS563" i="2"/>
  <c r="AT563" i="2"/>
  <c r="AU563" i="2"/>
  <c r="AV563" i="2"/>
  <c r="AS564" i="2"/>
  <c r="AT564" i="2"/>
  <c r="AU564" i="2"/>
  <c r="AV564" i="2"/>
  <c r="AS565" i="2"/>
  <c r="AT565" i="2"/>
  <c r="AU565" i="2"/>
  <c r="AV565" i="2"/>
  <c r="AS566" i="2"/>
  <c r="AT566" i="2"/>
  <c r="AU566" i="2"/>
  <c r="AV566" i="2"/>
  <c r="AS567" i="2"/>
  <c r="AT567" i="2"/>
  <c r="AU567" i="2"/>
  <c r="AV567" i="2"/>
  <c r="AS568" i="2"/>
  <c r="AT568" i="2"/>
  <c r="AU568" i="2"/>
  <c r="AV568" i="2"/>
  <c r="AS569" i="2"/>
  <c r="AT569" i="2"/>
  <c r="AU569" i="2"/>
  <c r="AV569" i="2"/>
  <c r="AS570" i="2"/>
  <c r="AT570" i="2"/>
  <c r="AU570" i="2"/>
  <c r="AV570" i="2"/>
  <c r="AS571" i="2"/>
  <c r="AT571" i="2"/>
  <c r="AU571" i="2"/>
  <c r="AV571" i="2"/>
  <c r="AS572" i="2"/>
  <c r="AT572" i="2"/>
  <c r="AU572" i="2"/>
  <c r="AV572" i="2"/>
  <c r="AS573" i="2"/>
  <c r="AT573" i="2"/>
  <c r="AU573" i="2"/>
  <c r="AV573" i="2"/>
  <c r="AS574" i="2"/>
  <c r="AT574" i="2"/>
  <c r="AU574" i="2"/>
  <c r="AV574" i="2"/>
  <c r="AS575" i="2"/>
  <c r="AT575" i="2"/>
  <c r="AU575" i="2"/>
  <c r="AV575" i="2"/>
  <c r="AS576" i="2"/>
  <c r="AT576" i="2"/>
  <c r="AU576" i="2"/>
  <c r="AV576" i="2"/>
  <c r="AS577" i="2"/>
  <c r="AT577" i="2"/>
  <c r="AU577" i="2"/>
  <c r="AV577" i="2"/>
  <c r="AS578" i="2"/>
  <c r="AT578" i="2"/>
  <c r="AU578" i="2"/>
  <c r="AV578" i="2"/>
  <c r="AS579" i="2"/>
  <c r="AT579" i="2"/>
  <c r="AU579" i="2"/>
  <c r="AV579" i="2"/>
  <c r="AS580" i="2"/>
  <c r="AT580" i="2"/>
  <c r="AU580" i="2"/>
  <c r="AV580" i="2"/>
  <c r="AS581" i="2"/>
  <c r="AT581" i="2"/>
  <c r="AU581" i="2"/>
  <c r="AV581" i="2"/>
  <c r="AS582" i="2"/>
  <c r="AT582" i="2"/>
  <c r="AU582" i="2"/>
  <c r="AV582" i="2"/>
  <c r="AS583" i="2"/>
  <c r="AT583" i="2"/>
  <c r="AU583" i="2"/>
  <c r="AV583" i="2"/>
  <c r="AS584" i="2"/>
  <c r="AT584" i="2"/>
  <c r="AU584" i="2"/>
  <c r="AV584" i="2"/>
  <c r="AS585" i="2"/>
  <c r="AT585" i="2"/>
  <c r="AU585" i="2"/>
  <c r="AV585" i="2"/>
  <c r="AS586" i="2"/>
  <c r="AT586" i="2"/>
  <c r="AU586" i="2"/>
  <c r="AV586" i="2"/>
  <c r="AS587" i="2"/>
  <c r="AT587" i="2"/>
  <c r="AU587" i="2"/>
  <c r="AV587" i="2"/>
  <c r="AS588" i="2"/>
  <c r="AT588" i="2"/>
  <c r="AU588" i="2"/>
  <c r="AV588" i="2"/>
  <c r="AS589" i="2"/>
  <c r="AT589" i="2"/>
  <c r="AU589" i="2"/>
  <c r="AV589" i="2"/>
  <c r="AS590" i="2"/>
  <c r="AT590" i="2"/>
  <c r="AU590" i="2"/>
  <c r="AV590" i="2"/>
  <c r="AS591" i="2"/>
  <c r="AT591" i="2"/>
  <c r="AU591" i="2"/>
  <c r="AV591" i="2"/>
  <c r="AS592" i="2"/>
  <c r="AT592" i="2"/>
  <c r="AU592" i="2"/>
  <c r="AV592" i="2"/>
  <c r="AS593" i="2"/>
  <c r="AT593" i="2"/>
  <c r="AU593" i="2"/>
  <c r="AV593" i="2"/>
  <c r="AS594" i="2"/>
  <c r="AT594" i="2"/>
  <c r="AU594" i="2"/>
  <c r="AV594" i="2"/>
  <c r="AS595" i="2"/>
  <c r="AT595" i="2"/>
  <c r="AU595" i="2"/>
  <c r="AV595" i="2"/>
  <c r="AS596" i="2"/>
  <c r="AT596" i="2"/>
  <c r="AU596" i="2"/>
  <c r="AV596" i="2"/>
  <c r="AS597" i="2"/>
  <c r="AT597" i="2"/>
  <c r="AU597" i="2"/>
  <c r="AV597" i="2"/>
  <c r="AS598" i="2"/>
  <c r="AT598" i="2"/>
  <c r="AU598" i="2"/>
  <c r="AV598" i="2"/>
  <c r="AS599" i="2"/>
  <c r="AT599" i="2"/>
  <c r="AU599" i="2"/>
  <c r="AV599" i="2"/>
  <c r="AS600" i="2"/>
  <c r="AT600" i="2"/>
  <c r="AU600" i="2"/>
  <c r="AV600" i="2"/>
  <c r="AS601" i="2"/>
  <c r="AT601" i="2"/>
  <c r="AU601" i="2"/>
  <c r="AV601" i="2"/>
  <c r="AS602" i="2"/>
  <c r="AT602" i="2"/>
  <c r="AU602" i="2"/>
  <c r="AV602" i="2"/>
  <c r="AS603" i="2"/>
  <c r="AT603" i="2"/>
  <c r="AU603" i="2"/>
  <c r="AV603" i="2"/>
  <c r="AS604" i="2"/>
  <c r="AT604" i="2"/>
  <c r="AU604" i="2"/>
  <c r="AV604" i="2"/>
  <c r="AS605" i="2"/>
  <c r="AT605" i="2"/>
  <c r="AU605" i="2"/>
  <c r="AV605" i="2"/>
  <c r="AS606" i="2"/>
  <c r="AT606" i="2"/>
  <c r="AU606" i="2"/>
  <c r="AV606" i="2"/>
  <c r="AS607" i="2"/>
  <c r="AT607" i="2"/>
  <c r="AU607" i="2"/>
  <c r="AV607" i="2"/>
  <c r="AS608" i="2"/>
  <c r="AT608" i="2"/>
  <c r="AU608" i="2"/>
  <c r="AV608" i="2"/>
  <c r="AS609" i="2"/>
  <c r="AT609" i="2"/>
  <c r="AU609" i="2"/>
  <c r="AV609" i="2"/>
  <c r="AS610" i="2"/>
  <c r="AT610" i="2"/>
  <c r="AU610" i="2"/>
  <c r="AV610" i="2"/>
  <c r="AS611" i="2"/>
  <c r="AT611" i="2"/>
  <c r="AU611" i="2"/>
  <c r="AV611" i="2"/>
  <c r="AS612" i="2"/>
  <c r="AT612" i="2"/>
  <c r="AU612" i="2"/>
  <c r="AV612" i="2"/>
  <c r="AS613" i="2"/>
  <c r="AT613" i="2"/>
  <c r="AU613" i="2"/>
  <c r="AV613" i="2"/>
  <c r="AS614" i="2"/>
  <c r="AT614" i="2"/>
  <c r="AU614" i="2"/>
  <c r="AV614" i="2"/>
  <c r="AS615" i="2"/>
  <c r="AT615" i="2"/>
  <c r="AU615" i="2"/>
  <c r="AV615" i="2"/>
  <c r="AS616" i="2"/>
  <c r="AT616" i="2"/>
  <c r="AU616" i="2"/>
  <c r="AV616" i="2"/>
  <c r="AS617" i="2"/>
  <c r="AT617" i="2"/>
  <c r="AU617" i="2"/>
  <c r="AV617" i="2"/>
  <c r="AS618" i="2"/>
  <c r="AT618" i="2"/>
  <c r="AU618" i="2"/>
  <c r="AV618" i="2"/>
  <c r="AS619" i="2"/>
  <c r="AT619" i="2"/>
  <c r="AU619" i="2"/>
  <c r="AV619" i="2"/>
  <c r="AS620" i="2"/>
  <c r="AT620" i="2"/>
  <c r="AU620" i="2"/>
  <c r="AV620" i="2"/>
  <c r="AS621" i="2"/>
  <c r="AT621" i="2"/>
  <c r="AU621" i="2"/>
  <c r="AV621" i="2"/>
  <c r="AS622" i="2"/>
  <c r="AT622" i="2"/>
  <c r="AU622" i="2"/>
  <c r="AV622" i="2"/>
  <c r="AS623" i="2"/>
  <c r="AT623" i="2"/>
  <c r="AU623" i="2"/>
  <c r="AV623" i="2"/>
  <c r="AS624" i="2"/>
  <c r="AT624" i="2"/>
  <c r="AU624" i="2"/>
  <c r="AV624" i="2"/>
  <c r="AS625" i="2"/>
  <c r="AT625" i="2"/>
  <c r="AU625" i="2"/>
  <c r="AV625" i="2"/>
  <c r="AS626" i="2"/>
  <c r="AT626" i="2"/>
  <c r="AU626" i="2"/>
  <c r="AV626" i="2"/>
  <c r="AS627" i="2"/>
  <c r="AT627" i="2"/>
  <c r="AU627" i="2"/>
  <c r="AV627" i="2"/>
  <c r="AS628" i="2"/>
  <c r="AT628" i="2"/>
  <c r="AU628" i="2"/>
  <c r="AV628" i="2"/>
  <c r="AS629" i="2"/>
  <c r="AT629" i="2"/>
  <c r="AU629" i="2"/>
  <c r="AV629" i="2"/>
  <c r="AS630" i="2"/>
  <c r="AT630" i="2"/>
  <c r="AU630" i="2"/>
  <c r="AV630" i="2"/>
  <c r="AS631" i="2"/>
  <c r="AT631" i="2"/>
  <c r="AU631" i="2"/>
  <c r="AV631" i="2"/>
  <c r="AS632" i="2"/>
  <c r="AT632" i="2"/>
  <c r="AU632" i="2"/>
  <c r="AV632" i="2"/>
  <c r="AS633" i="2"/>
  <c r="AT633" i="2"/>
  <c r="AU633" i="2"/>
  <c r="AV633" i="2"/>
  <c r="AS634" i="2"/>
  <c r="AT634" i="2"/>
  <c r="AU634" i="2"/>
  <c r="AV634" i="2"/>
  <c r="AS635" i="2"/>
  <c r="AT635" i="2"/>
  <c r="AU635" i="2"/>
  <c r="AV635" i="2"/>
  <c r="AS636" i="2"/>
  <c r="AT636" i="2"/>
  <c r="AU636" i="2"/>
  <c r="AV636" i="2"/>
  <c r="AS637" i="2"/>
  <c r="AT637" i="2"/>
  <c r="AU637" i="2"/>
  <c r="AV637" i="2"/>
  <c r="AS638" i="2"/>
  <c r="AT638" i="2"/>
  <c r="AU638" i="2"/>
  <c r="AV638" i="2"/>
  <c r="AS639" i="2"/>
  <c r="AT639" i="2"/>
  <c r="AU639" i="2"/>
  <c r="AV639" i="2"/>
  <c r="AS641" i="2"/>
  <c r="AT641" i="2"/>
  <c r="AU641" i="2"/>
  <c r="AV641" i="2"/>
  <c r="AS642" i="2"/>
  <c r="AT642" i="2"/>
  <c r="AU642" i="2"/>
  <c r="AV642" i="2"/>
  <c r="AS643" i="2"/>
  <c r="AT643" i="2"/>
  <c r="AU643" i="2"/>
  <c r="AV643" i="2"/>
  <c r="AS644" i="2"/>
  <c r="AT644" i="2"/>
  <c r="AU644" i="2"/>
  <c r="AV644" i="2"/>
  <c r="AS645" i="2"/>
  <c r="AT645" i="2"/>
  <c r="AU645" i="2"/>
  <c r="AV645" i="2"/>
  <c r="AS646" i="2"/>
  <c r="AT646" i="2"/>
  <c r="AU646" i="2"/>
  <c r="AV646" i="2"/>
  <c r="AS647" i="2"/>
  <c r="AT647" i="2"/>
  <c r="AU647" i="2"/>
  <c r="AV647" i="2"/>
  <c r="AS648" i="2"/>
  <c r="AT648" i="2"/>
  <c r="AU648" i="2"/>
  <c r="AV648" i="2"/>
  <c r="AS649" i="2"/>
  <c r="AT649" i="2"/>
  <c r="AU649" i="2"/>
  <c r="AV649" i="2"/>
  <c r="AS650" i="2"/>
  <c r="AT650" i="2"/>
  <c r="AU650" i="2"/>
  <c r="AV650" i="2"/>
  <c r="AS651" i="2"/>
  <c r="AT651" i="2"/>
  <c r="AU651" i="2"/>
  <c r="AV651" i="2"/>
  <c r="AS652" i="2"/>
  <c r="AT652" i="2"/>
  <c r="AU652" i="2"/>
  <c r="AV652" i="2"/>
  <c r="AS653" i="2"/>
  <c r="AT653" i="2"/>
  <c r="AU653" i="2"/>
  <c r="AV653" i="2"/>
  <c r="AS654" i="2"/>
  <c r="AT654" i="2"/>
  <c r="AU654" i="2"/>
  <c r="AV654" i="2"/>
  <c r="AS656" i="2"/>
  <c r="AT656" i="2"/>
  <c r="AU656" i="2"/>
  <c r="AV656" i="2"/>
  <c r="AS658" i="2"/>
  <c r="AT658" i="2"/>
  <c r="AU658" i="2"/>
  <c r="AV658" i="2"/>
  <c r="AS659" i="2"/>
  <c r="AT659" i="2"/>
  <c r="AU659" i="2"/>
  <c r="AV659" i="2"/>
  <c r="AS660" i="2"/>
  <c r="AT660" i="2"/>
  <c r="AU660" i="2"/>
  <c r="AV660" i="2"/>
  <c r="AS661" i="2"/>
  <c r="AT661" i="2"/>
  <c r="AU661" i="2"/>
  <c r="AV661" i="2"/>
  <c r="AS662" i="2"/>
  <c r="AT662" i="2"/>
  <c r="AU662" i="2"/>
  <c r="AV662" i="2"/>
  <c r="AS663" i="2"/>
  <c r="AT663" i="2"/>
  <c r="AU663" i="2"/>
  <c r="AV663" i="2"/>
  <c r="AS664" i="2"/>
  <c r="AT664" i="2"/>
  <c r="AU664" i="2"/>
  <c r="AV664" i="2"/>
  <c r="AS665" i="2"/>
  <c r="AT665" i="2"/>
  <c r="AU665" i="2"/>
  <c r="AV665" i="2"/>
  <c r="AS666" i="2"/>
  <c r="AT666" i="2"/>
  <c r="AU666" i="2"/>
  <c r="AV666" i="2"/>
  <c r="AS667" i="2"/>
  <c r="AT667" i="2"/>
  <c r="AU667" i="2"/>
  <c r="AV667" i="2"/>
  <c r="AS668" i="2"/>
  <c r="AT668" i="2"/>
  <c r="AU668" i="2"/>
  <c r="AV668" i="2"/>
  <c r="AS669" i="2"/>
  <c r="AT669" i="2"/>
  <c r="AU669" i="2"/>
  <c r="AV669" i="2"/>
  <c r="AS670" i="2"/>
  <c r="AT670" i="2"/>
  <c r="AU670" i="2"/>
  <c r="AV670" i="2"/>
  <c r="AS671" i="2"/>
  <c r="AT671" i="2"/>
  <c r="AU671" i="2"/>
  <c r="AV671" i="2"/>
  <c r="AS672" i="2"/>
  <c r="AT672" i="2"/>
  <c r="AU672" i="2"/>
  <c r="AV672" i="2"/>
  <c r="AS673" i="2"/>
  <c r="AT673" i="2"/>
  <c r="AU673" i="2"/>
  <c r="AV673" i="2"/>
  <c r="AS674" i="2"/>
  <c r="AT674" i="2"/>
  <c r="AU674" i="2"/>
  <c r="AV674" i="2"/>
  <c r="AS675" i="2"/>
  <c r="AT675" i="2"/>
  <c r="AU675" i="2"/>
  <c r="AV675" i="2"/>
  <c r="AS676" i="2"/>
  <c r="AT676" i="2"/>
  <c r="AU676" i="2"/>
  <c r="AV676" i="2"/>
  <c r="AS677" i="2"/>
  <c r="AT677" i="2"/>
  <c r="AU677" i="2"/>
  <c r="AV677" i="2"/>
  <c r="AS678" i="2"/>
  <c r="AT678" i="2"/>
  <c r="AU678" i="2"/>
  <c r="AV678" i="2"/>
  <c r="AS679" i="2"/>
  <c r="AT679" i="2"/>
  <c r="AU679" i="2"/>
  <c r="AV679" i="2"/>
  <c r="AS680" i="2"/>
  <c r="AT680" i="2"/>
  <c r="AU680" i="2"/>
  <c r="AV680" i="2"/>
  <c r="AS681" i="2"/>
  <c r="AT681" i="2"/>
  <c r="AU681" i="2"/>
  <c r="AV681" i="2"/>
  <c r="AS682" i="2"/>
  <c r="AT682" i="2"/>
  <c r="AU682" i="2"/>
  <c r="AV682" i="2"/>
  <c r="AS683" i="2"/>
  <c r="AT683" i="2"/>
  <c r="AU683" i="2"/>
  <c r="AV683" i="2"/>
  <c r="AS684" i="2"/>
  <c r="AT684" i="2"/>
  <c r="AU684" i="2"/>
  <c r="AV684" i="2"/>
  <c r="AS685" i="2"/>
  <c r="AT685" i="2"/>
  <c r="AU685" i="2"/>
  <c r="AV685" i="2"/>
  <c r="AS686" i="2"/>
  <c r="AT686" i="2"/>
  <c r="AU686" i="2"/>
  <c r="AV686" i="2"/>
  <c r="AS687" i="2"/>
  <c r="AT687" i="2"/>
  <c r="AU687" i="2"/>
  <c r="AV687" i="2"/>
  <c r="AS688" i="2"/>
  <c r="AT688" i="2"/>
  <c r="AU688" i="2"/>
  <c r="AV688" i="2"/>
  <c r="AS689" i="2"/>
  <c r="AT689" i="2"/>
  <c r="AU689" i="2"/>
  <c r="AV689" i="2"/>
  <c r="AS690" i="2"/>
  <c r="AT690" i="2"/>
  <c r="AU690" i="2"/>
  <c r="AV690" i="2"/>
  <c r="AS691" i="2"/>
  <c r="AT691" i="2"/>
  <c r="AU691" i="2"/>
  <c r="AV691" i="2"/>
  <c r="AS692" i="2"/>
  <c r="AT692" i="2"/>
  <c r="AU692" i="2"/>
  <c r="AV692" i="2"/>
  <c r="AS693" i="2"/>
  <c r="AT693" i="2"/>
  <c r="AU693" i="2"/>
  <c r="AV693" i="2"/>
  <c r="AS694" i="2"/>
  <c r="AT694" i="2"/>
  <c r="AU694" i="2"/>
  <c r="AV694" i="2"/>
  <c r="AS695" i="2"/>
  <c r="AT695" i="2"/>
  <c r="AU695" i="2"/>
  <c r="AV695" i="2"/>
  <c r="AS696" i="2"/>
  <c r="AT696" i="2"/>
  <c r="AU696" i="2"/>
  <c r="AV696" i="2"/>
  <c r="AS697" i="2"/>
  <c r="AT697" i="2"/>
  <c r="AU697" i="2"/>
  <c r="AV697" i="2"/>
  <c r="AS698" i="2"/>
  <c r="AT698" i="2"/>
  <c r="AU698" i="2"/>
  <c r="AV698" i="2"/>
  <c r="AS699" i="2"/>
  <c r="AT699" i="2"/>
  <c r="AU699" i="2"/>
  <c r="AV699" i="2"/>
  <c r="AS700" i="2"/>
  <c r="AT700" i="2"/>
  <c r="AU700" i="2"/>
  <c r="AV700" i="2"/>
  <c r="AS701" i="2"/>
  <c r="AT701" i="2"/>
  <c r="AU701" i="2"/>
  <c r="AV701" i="2"/>
  <c r="AS702" i="2"/>
  <c r="AT702" i="2"/>
  <c r="AU702" i="2"/>
  <c r="AV702" i="2"/>
  <c r="AS703" i="2"/>
  <c r="AT703" i="2"/>
  <c r="AU703" i="2"/>
  <c r="AV703" i="2"/>
  <c r="AS704" i="2"/>
  <c r="AT704" i="2"/>
  <c r="AU704" i="2"/>
  <c r="AV704" i="2"/>
  <c r="AS705" i="2"/>
  <c r="AT705" i="2"/>
  <c r="AU705" i="2"/>
  <c r="AV705" i="2"/>
  <c r="AS706" i="2"/>
  <c r="AT706" i="2"/>
  <c r="AU706" i="2"/>
  <c r="AV706" i="2"/>
  <c r="AS707" i="2"/>
  <c r="AT707" i="2"/>
  <c r="AU707" i="2"/>
  <c r="AV707" i="2"/>
  <c r="AS708" i="2"/>
  <c r="AT708" i="2"/>
  <c r="AU708" i="2"/>
  <c r="AV708" i="2"/>
  <c r="AS709" i="2"/>
  <c r="AT709" i="2"/>
  <c r="AU709" i="2"/>
  <c r="AV709" i="2"/>
  <c r="AS710" i="2"/>
  <c r="AT710" i="2"/>
  <c r="AU710" i="2"/>
  <c r="AV710" i="2"/>
  <c r="AS711" i="2"/>
  <c r="AT711" i="2"/>
  <c r="AU711" i="2"/>
  <c r="AV711" i="2"/>
  <c r="AS712" i="2"/>
  <c r="AT712" i="2"/>
  <c r="AU712" i="2"/>
  <c r="AV712" i="2"/>
  <c r="AS713" i="2"/>
  <c r="AT713" i="2"/>
  <c r="AU713" i="2"/>
  <c r="AV713" i="2"/>
  <c r="AS714" i="2"/>
  <c r="AT714" i="2"/>
  <c r="AU714" i="2"/>
  <c r="AV714" i="2"/>
  <c r="AS715" i="2"/>
  <c r="AT715" i="2"/>
  <c r="AU715" i="2"/>
  <c r="AV715" i="2"/>
  <c r="AS716" i="2"/>
  <c r="AT716" i="2"/>
  <c r="AU716" i="2"/>
  <c r="AV716" i="2"/>
  <c r="AS717" i="2"/>
  <c r="AT717" i="2"/>
  <c r="AU717" i="2"/>
  <c r="AV717" i="2"/>
  <c r="AS718" i="2"/>
  <c r="AT718" i="2"/>
  <c r="AU718" i="2"/>
  <c r="AV718" i="2"/>
  <c r="AS719" i="2"/>
  <c r="AT719" i="2"/>
  <c r="AU719" i="2"/>
  <c r="AV719" i="2"/>
  <c r="AS720" i="2"/>
  <c r="AT720" i="2"/>
  <c r="AU720" i="2"/>
  <c r="AV720" i="2"/>
  <c r="AS721" i="2"/>
  <c r="AT721" i="2"/>
  <c r="AU721" i="2"/>
  <c r="AV721" i="2"/>
  <c r="AS722" i="2"/>
  <c r="AT722" i="2"/>
  <c r="AU722" i="2"/>
  <c r="AV722" i="2"/>
  <c r="AS723" i="2"/>
  <c r="AT723" i="2"/>
  <c r="AU723" i="2"/>
  <c r="AV723" i="2"/>
  <c r="AS724" i="2"/>
  <c r="AT724" i="2"/>
  <c r="AU724" i="2"/>
  <c r="AV724" i="2"/>
  <c r="AS725" i="2"/>
  <c r="AT725" i="2"/>
  <c r="AU725" i="2"/>
  <c r="AV725" i="2"/>
  <c r="AS726" i="2"/>
  <c r="AT726" i="2"/>
  <c r="AU726" i="2"/>
  <c r="AV726" i="2"/>
  <c r="AS727" i="2"/>
  <c r="AT727" i="2"/>
  <c r="AU727" i="2"/>
  <c r="AV727" i="2"/>
  <c r="AS728" i="2"/>
  <c r="AT728" i="2"/>
  <c r="AU728" i="2"/>
  <c r="AV728" i="2"/>
  <c r="AS729" i="2"/>
  <c r="AT729" i="2"/>
  <c r="AU729" i="2"/>
  <c r="AV729" i="2"/>
  <c r="AS730" i="2"/>
  <c r="AT730" i="2"/>
  <c r="AU730" i="2"/>
  <c r="AV730" i="2"/>
  <c r="AS731" i="2"/>
  <c r="AT731" i="2"/>
  <c r="AU731" i="2"/>
  <c r="AV731" i="2"/>
  <c r="AS732" i="2"/>
  <c r="AT732" i="2"/>
  <c r="AU732" i="2"/>
  <c r="AV732" i="2"/>
  <c r="AS733" i="2"/>
  <c r="AT733" i="2"/>
  <c r="AU733" i="2"/>
  <c r="AV733" i="2"/>
  <c r="AS734" i="2"/>
  <c r="AT734" i="2"/>
  <c r="AU734" i="2"/>
  <c r="AV734" i="2"/>
  <c r="AS735" i="2"/>
  <c r="AT735" i="2"/>
  <c r="AU735" i="2"/>
  <c r="AV735" i="2"/>
  <c r="AS736" i="2"/>
  <c r="AT736" i="2"/>
  <c r="AU736" i="2"/>
  <c r="AV736" i="2"/>
  <c r="AS737" i="2"/>
  <c r="AT737" i="2"/>
  <c r="AU737" i="2"/>
  <c r="AV737" i="2"/>
  <c r="AS738" i="2"/>
  <c r="AT738" i="2"/>
  <c r="AU738" i="2"/>
  <c r="AV738" i="2"/>
  <c r="AS739" i="2"/>
  <c r="AT739" i="2"/>
  <c r="AU739" i="2"/>
  <c r="AV739" i="2"/>
  <c r="AS740" i="2"/>
  <c r="AT740" i="2"/>
  <c r="AU740" i="2"/>
  <c r="AV740" i="2"/>
  <c r="AS741" i="2"/>
  <c r="AT741" i="2"/>
  <c r="AU741" i="2"/>
  <c r="AV741" i="2"/>
  <c r="AS742" i="2"/>
  <c r="AT742" i="2"/>
  <c r="AU742" i="2"/>
  <c r="AV742" i="2"/>
  <c r="AS743" i="2"/>
  <c r="AT743" i="2"/>
  <c r="AU743" i="2"/>
  <c r="AV743" i="2"/>
  <c r="AS744" i="2"/>
  <c r="AT744" i="2"/>
  <c r="AU744" i="2"/>
  <c r="AV744" i="2"/>
  <c r="AS745" i="2"/>
  <c r="AT745" i="2"/>
  <c r="AU745" i="2"/>
  <c r="AV745" i="2"/>
  <c r="AS746" i="2"/>
  <c r="AT746" i="2"/>
  <c r="AU746" i="2"/>
  <c r="AV746" i="2"/>
  <c r="AS747" i="2"/>
  <c r="AT747" i="2"/>
  <c r="AU747" i="2"/>
  <c r="AV747" i="2"/>
  <c r="AS748" i="2"/>
  <c r="AT748" i="2"/>
  <c r="AU748" i="2"/>
  <c r="AV748" i="2"/>
  <c r="AS749" i="2"/>
  <c r="AT749" i="2"/>
  <c r="AU749" i="2"/>
  <c r="AV749" i="2"/>
  <c r="AS750" i="2"/>
  <c r="AT750" i="2"/>
  <c r="AU750" i="2"/>
  <c r="AV750" i="2"/>
  <c r="AS751" i="2"/>
  <c r="AT751" i="2"/>
  <c r="AU751" i="2"/>
  <c r="AV751" i="2"/>
  <c r="AS752" i="2"/>
  <c r="AT752" i="2"/>
  <c r="AU752" i="2"/>
  <c r="AV752" i="2"/>
  <c r="AS753" i="2"/>
  <c r="AT753" i="2"/>
  <c r="AU753" i="2"/>
  <c r="AV753" i="2"/>
  <c r="AS754" i="2"/>
  <c r="AT754" i="2"/>
  <c r="AU754" i="2"/>
  <c r="AV754" i="2"/>
  <c r="AS755" i="2"/>
  <c r="AT755" i="2"/>
  <c r="AU755" i="2"/>
  <c r="AV755" i="2"/>
  <c r="AS756" i="2"/>
  <c r="AT756" i="2"/>
  <c r="AU756" i="2"/>
  <c r="AV756" i="2"/>
  <c r="AS757" i="2"/>
  <c r="AT757" i="2"/>
  <c r="AU757" i="2"/>
  <c r="AV757" i="2"/>
  <c r="AS758" i="2"/>
  <c r="AT758" i="2"/>
  <c r="AU758" i="2"/>
  <c r="AV758" i="2"/>
  <c r="AS759" i="2"/>
  <c r="AT759" i="2"/>
  <c r="AU759" i="2"/>
  <c r="AV759" i="2"/>
  <c r="AS760" i="2"/>
  <c r="AT760" i="2"/>
  <c r="AU760" i="2"/>
  <c r="AV760" i="2"/>
  <c r="AS761" i="2"/>
  <c r="AT761" i="2"/>
  <c r="AU761" i="2"/>
  <c r="AV761" i="2"/>
  <c r="AS762" i="2"/>
  <c r="AT762" i="2"/>
  <c r="AU762" i="2"/>
  <c r="AV762" i="2"/>
  <c r="AS763" i="2"/>
  <c r="AT763" i="2"/>
  <c r="AU763" i="2"/>
  <c r="AV763" i="2"/>
  <c r="AS764" i="2"/>
  <c r="AT764" i="2"/>
  <c r="AU764" i="2"/>
  <c r="AV764" i="2"/>
  <c r="AS765" i="2"/>
  <c r="AT765" i="2"/>
  <c r="AU765" i="2"/>
  <c r="AV765" i="2"/>
  <c r="AS766" i="2"/>
  <c r="AT766" i="2"/>
  <c r="AU766" i="2"/>
  <c r="AV766" i="2"/>
  <c r="AS767" i="2"/>
  <c r="AT767" i="2"/>
  <c r="AU767" i="2"/>
  <c r="AV767" i="2"/>
  <c r="AS768" i="2"/>
  <c r="AT768" i="2"/>
  <c r="AU768" i="2"/>
  <c r="AV768" i="2"/>
  <c r="AS769" i="2"/>
  <c r="AT769" i="2"/>
  <c r="AU769" i="2"/>
  <c r="AV769" i="2"/>
  <c r="AS770" i="2"/>
  <c r="AT770" i="2"/>
  <c r="AU770" i="2"/>
  <c r="AV770" i="2"/>
  <c r="AS771" i="2"/>
  <c r="AT771" i="2"/>
  <c r="AU771" i="2"/>
  <c r="AV771" i="2"/>
  <c r="AS772" i="2"/>
  <c r="AT772" i="2"/>
  <c r="AU772" i="2"/>
  <c r="AV772" i="2"/>
  <c r="AS773" i="2"/>
  <c r="AT773" i="2"/>
  <c r="AU773" i="2"/>
  <c r="AV773" i="2"/>
  <c r="AS774" i="2"/>
  <c r="AT774" i="2"/>
  <c r="AU774" i="2"/>
  <c r="AV774" i="2"/>
  <c r="AS775" i="2"/>
  <c r="AT775" i="2"/>
  <c r="AU775" i="2"/>
  <c r="AV775" i="2"/>
  <c r="AS776" i="2"/>
  <c r="AT776" i="2"/>
  <c r="AU776" i="2"/>
  <c r="AV776" i="2"/>
  <c r="AS777" i="2"/>
  <c r="AT777" i="2"/>
  <c r="AU777" i="2"/>
  <c r="AV777" i="2"/>
  <c r="AS778" i="2"/>
  <c r="AT778" i="2"/>
  <c r="AU778" i="2"/>
  <c r="AV778" i="2"/>
  <c r="AS779" i="2"/>
  <c r="AT779" i="2"/>
  <c r="AU779" i="2"/>
  <c r="AV779" i="2"/>
  <c r="AS780" i="2"/>
  <c r="AT780" i="2"/>
  <c r="AU780" i="2"/>
  <c r="AV780" i="2"/>
  <c r="AS781" i="2"/>
  <c r="AT781" i="2"/>
  <c r="AU781" i="2"/>
  <c r="AV781" i="2"/>
  <c r="AS782" i="2"/>
  <c r="AT782" i="2"/>
  <c r="AU782" i="2"/>
  <c r="AV782" i="2"/>
  <c r="AS783" i="2"/>
  <c r="AT783" i="2"/>
  <c r="AU783" i="2"/>
  <c r="AV783" i="2"/>
  <c r="AS784" i="2"/>
  <c r="AT784" i="2"/>
  <c r="AU784" i="2"/>
  <c r="AV784" i="2"/>
  <c r="AS785" i="2"/>
  <c r="AT785" i="2"/>
  <c r="AU785" i="2"/>
  <c r="AV785" i="2"/>
  <c r="AS786" i="2"/>
  <c r="AT786" i="2"/>
  <c r="AU786" i="2"/>
  <c r="AV786" i="2"/>
  <c r="AS787" i="2"/>
  <c r="AT787" i="2"/>
  <c r="AU787" i="2"/>
  <c r="AV787" i="2"/>
  <c r="AS788" i="2"/>
  <c r="AT788" i="2"/>
  <c r="AU788" i="2"/>
  <c r="AV788" i="2"/>
  <c r="AS789" i="2"/>
  <c r="AT789" i="2"/>
  <c r="AU789" i="2"/>
  <c r="AV789" i="2"/>
  <c r="AS790" i="2"/>
  <c r="AT790" i="2"/>
  <c r="AU790" i="2"/>
  <c r="AV790" i="2"/>
  <c r="AS791" i="2"/>
  <c r="AT791" i="2"/>
  <c r="AU791" i="2"/>
  <c r="AV791" i="2"/>
  <c r="AS792" i="2"/>
  <c r="AT792" i="2"/>
  <c r="AU792" i="2"/>
  <c r="AV792" i="2"/>
  <c r="AS793" i="2"/>
  <c r="AT793" i="2"/>
  <c r="AU793" i="2"/>
  <c r="AV793" i="2"/>
  <c r="AS794" i="2"/>
  <c r="AT794" i="2"/>
  <c r="AU794" i="2"/>
  <c r="AV794" i="2"/>
  <c r="AS795" i="2"/>
  <c r="AT795" i="2"/>
  <c r="AU795" i="2"/>
  <c r="AV795" i="2"/>
  <c r="AS796" i="2"/>
  <c r="AT796" i="2"/>
  <c r="AU796" i="2"/>
  <c r="AV796" i="2"/>
  <c r="AS797" i="2"/>
  <c r="AT797" i="2"/>
  <c r="AU797" i="2"/>
  <c r="AV797" i="2"/>
  <c r="AS798" i="2"/>
  <c r="AT798" i="2"/>
  <c r="AU798" i="2"/>
  <c r="AV798" i="2"/>
  <c r="AS799" i="2"/>
  <c r="AT799" i="2"/>
  <c r="AU799" i="2"/>
  <c r="AV799" i="2"/>
  <c r="AS800" i="2"/>
  <c r="AT800" i="2"/>
  <c r="AU800" i="2"/>
  <c r="AV800" i="2"/>
  <c r="AS801" i="2"/>
  <c r="AT801" i="2"/>
  <c r="AU801" i="2"/>
  <c r="AV801" i="2"/>
  <c r="AS802" i="2"/>
  <c r="AT802" i="2"/>
  <c r="AU802" i="2"/>
  <c r="AV802" i="2"/>
  <c r="AS803" i="2"/>
  <c r="AT803" i="2"/>
  <c r="AU803" i="2"/>
  <c r="AV803" i="2"/>
  <c r="AS804" i="2"/>
  <c r="AT804" i="2"/>
  <c r="AU804" i="2"/>
  <c r="AV804" i="2"/>
  <c r="AS805" i="2"/>
  <c r="AT805" i="2"/>
  <c r="AU805" i="2"/>
  <c r="AV805" i="2"/>
  <c r="AS806" i="2"/>
  <c r="AT806" i="2"/>
  <c r="AU806" i="2"/>
  <c r="AV806" i="2"/>
  <c r="AS807" i="2"/>
  <c r="AT807" i="2"/>
  <c r="AU807" i="2"/>
  <c r="AV807" i="2"/>
  <c r="AS808" i="2"/>
  <c r="AT808" i="2"/>
  <c r="AU808" i="2"/>
  <c r="AV808" i="2"/>
  <c r="AS809" i="2"/>
  <c r="AT809" i="2"/>
  <c r="AU809" i="2"/>
  <c r="AV809" i="2"/>
  <c r="AS810" i="2"/>
  <c r="AT810" i="2"/>
  <c r="AU810" i="2"/>
  <c r="AV810" i="2"/>
  <c r="AS811" i="2"/>
  <c r="AT811" i="2"/>
  <c r="AU811" i="2"/>
  <c r="AV811" i="2"/>
  <c r="AS812" i="2"/>
  <c r="AT812" i="2"/>
  <c r="AU812" i="2"/>
  <c r="AV812" i="2"/>
  <c r="AS813" i="2"/>
  <c r="AT813" i="2"/>
  <c r="AU813" i="2"/>
  <c r="AV813" i="2"/>
  <c r="AS814" i="2"/>
  <c r="AT814" i="2"/>
  <c r="AU814" i="2"/>
  <c r="AV814" i="2"/>
  <c r="AS815" i="2"/>
  <c r="AT815" i="2"/>
  <c r="AU815" i="2"/>
  <c r="AV815" i="2"/>
  <c r="AS816" i="2"/>
  <c r="AT816" i="2"/>
  <c r="AU816" i="2"/>
  <c r="AV816" i="2"/>
  <c r="AS817" i="2"/>
  <c r="AT817" i="2"/>
  <c r="AU817" i="2"/>
  <c r="AV817" i="2"/>
  <c r="AS818" i="2"/>
  <c r="AT818" i="2"/>
  <c r="AU818" i="2"/>
  <c r="AV818" i="2"/>
  <c r="AS819" i="2"/>
  <c r="AT819" i="2"/>
  <c r="AU819" i="2"/>
  <c r="AV819" i="2"/>
  <c r="AS820" i="2"/>
  <c r="AT820" i="2"/>
  <c r="AU820" i="2"/>
  <c r="AV820" i="2"/>
  <c r="AS821" i="2"/>
  <c r="AT821" i="2"/>
  <c r="AU821" i="2"/>
  <c r="AV821" i="2"/>
  <c r="AS822" i="2"/>
  <c r="AT822" i="2"/>
  <c r="AU822" i="2"/>
  <c r="AV822" i="2"/>
  <c r="AS823" i="2"/>
  <c r="AT823" i="2"/>
  <c r="AU823" i="2"/>
  <c r="AV823" i="2"/>
  <c r="AS824" i="2"/>
  <c r="AT824" i="2"/>
  <c r="AU824" i="2"/>
  <c r="AV824" i="2"/>
  <c r="AS825" i="2"/>
  <c r="AT825" i="2"/>
  <c r="AU825" i="2"/>
  <c r="AV825" i="2"/>
  <c r="AS826" i="2"/>
  <c r="AT826" i="2"/>
  <c r="AU826" i="2"/>
  <c r="AV826" i="2"/>
  <c r="AS827" i="2"/>
  <c r="AT827" i="2"/>
  <c r="AU827" i="2"/>
  <c r="AV827" i="2"/>
  <c r="AS828" i="2"/>
  <c r="AT828" i="2"/>
  <c r="AU828" i="2"/>
  <c r="AV828" i="2"/>
  <c r="AS829" i="2"/>
  <c r="AT829" i="2"/>
  <c r="AU829" i="2"/>
  <c r="AV829" i="2"/>
  <c r="AS830" i="2"/>
  <c r="AT830" i="2"/>
  <c r="AU830" i="2"/>
  <c r="AV830" i="2"/>
  <c r="AS831" i="2"/>
  <c r="AT831" i="2"/>
  <c r="AU831" i="2"/>
  <c r="AV831" i="2"/>
  <c r="AS832" i="2"/>
  <c r="AT832" i="2"/>
  <c r="AU832" i="2"/>
  <c r="AV832" i="2"/>
  <c r="AS833" i="2"/>
  <c r="AT833" i="2"/>
  <c r="AU833" i="2"/>
  <c r="AV833" i="2"/>
  <c r="AS834" i="2"/>
  <c r="AT834" i="2"/>
  <c r="AU834" i="2"/>
  <c r="AV834" i="2"/>
  <c r="AS835" i="2"/>
  <c r="AT835" i="2"/>
  <c r="AU835" i="2"/>
  <c r="AV835" i="2"/>
  <c r="AS836" i="2"/>
  <c r="AT836" i="2"/>
  <c r="AU836" i="2"/>
  <c r="AV836" i="2"/>
  <c r="AS837" i="2"/>
  <c r="AT837" i="2"/>
  <c r="AU837" i="2"/>
  <c r="AV837" i="2"/>
  <c r="AS838" i="2"/>
  <c r="AT838" i="2"/>
  <c r="AU838" i="2"/>
  <c r="AV838" i="2"/>
  <c r="AS839" i="2"/>
  <c r="AT839" i="2"/>
  <c r="AU839" i="2"/>
  <c r="AV839" i="2"/>
  <c r="AS841" i="2"/>
  <c r="AT841" i="2"/>
  <c r="AU841" i="2"/>
  <c r="AV841" i="2"/>
  <c r="AS843" i="2"/>
  <c r="AT843" i="2"/>
  <c r="AU843" i="2"/>
  <c r="AV843" i="2"/>
  <c r="AS844" i="2"/>
  <c r="AT844" i="2"/>
  <c r="AU844" i="2"/>
  <c r="AV844" i="2"/>
  <c r="AS845" i="2"/>
  <c r="AT845" i="2"/>
  <c r="AU845" i="2"/>
  <c r="AV845" i="2"/>
  <c r="AS846" i="2"/>
  <c r="AT846" i="2"/>
  <c r="AU846" i="2"/>
  <c r="AV846" i="2"/>
  <c r="AS847" i="2"/>
  <c r="AT847" i="2"/>
  <c r="AU847" i="2"/>
  <c r="AV847" i="2"/>
  <c r="AS848" i="2"/>
  <c r="AT848" i="2"/>
  <c r="AU848" i="2"/>
  <c r="AV848" i="2"/>
  <c r="AS849" i="2"/>
  <c r="AT849" i="2"/>
  <c r="AU849" i="2"/>
  <c r="AV849" i="2"/>
  <c r="AS850" i="2"/>
  <c r="AT850" i="2"/>
  <c r="AU850" i="2"/>
  <c r="AV850" i="2"/>
  <c r="AS851" i="2"/>
  <c r="AT851" i="2"/>
  <c r="AU851" i="2"/>
  <c r="AV851" i="2"/>
  <c r="AS852" i="2"/>
  <c r="AT852" i="2"/>
  <c r="AU852" i="2"/>
  <c r="AV852" i="2"/>
  <c r="AS853" i="2"/>
  <c r="AT853" i="2"/>
  <c r="AU853" i="2"/>
  <c r="AV853" i="2"/>
  <c r="AS854" i="2"/>
  <c r="AT854" i="2"/>
  <c r="AU854" i="2"/>
  <c r="AV854" i="2"/>
  <c r="AS855" i="2"/>
  <c r="AT855" i="2"/>
  <c r="AU855" i="2"/>
  <c r="AV855" i="2"/>
  <c r="AS856" i="2"/>
  <c r="AT856" i="2"/>
  <c r="AU856" i="2"/>
  <c r="AV856" i="2"/>
  <c r="AS857" i="2"/>
  <c r="AT857" i="2"/>
  <c r="AU857" i="2"/>
  <c r="AV857" i="2"/>
  <c r="AS858" i="2"/>
  <c r="AT858" i="2"/>
  <c r="AU858" i="2"/>
  <c r="AV858" i="2"/>
  <c r="AS859" i="2"/>
  <c r="AT859" i="2"/>
  <c r="AU859" i="2"/>
  <c r="AV859" i="2"/>
  <c r="AS860" i="2"/>
  <c r="AT860" i="2"/>
  <c r="AU860" i="2"/>
  <c r="AV860" i="2"/>
  <c r="AS861" i="2"/>
  <c r="AT861" i="2"/>
  <c r="AU861" i="2"/>
  <c r="AV861" i="2"/>
  <c r="AS862" i="2"/>
  <c r="AT862" i="2"/>
  <c r="AU862" i="2"/>
  <c r="AV862" i="2"/>
  <c r="AS863" i="2"/>
  <c r="AT863" i="2"/>
  <c r="AU863" i="2"/>
  <c r="AV863" i="2"/>
  <c r="AS864" i="2"/>
  <c r="AT864" i="2"/>
  <c r="AU864" i="2"/>
  <c r="AV864" i="2"/>
  <c r="AS865" i="2"/>
  <c r="AT865" i="2"/>
  <c r="AU865" i="2"/>
  <c r="AV865" i="2"/>
  <c r="AS866" i="2"/>
  <c r="AT866" i="2"/>
  <c r="AU866" i="2"/>
  <c r="AV866" i="2"/>
  <c r="AS867" i="2"/>
  <c r="AT867" i="2"/>
  <c r="AU867" i="2"/>
  <c r="AV867" i="2"/>
  <c r="AS868" i="2"/>
  <c r="AT868" i="2"/>
  <c r="AU868" i="2"/>
  <c r="AV868" i="2"/>
  <c r="AS869" i="2"/>
  <c r="AT869" i="2"/>
  <c r="AU869" i="2"/>
  <c r="AV869" i="2"/>
  <c r="AS870" i="2"/>
  <c r="AT870" i="2"/>
  <c r="AU870" i="2"/>
  <c r="AV870" i="2"/>
  <c r="AS871" i="2"/>
  <c r="AT871" i="2"/>
  <c r="AU871" i="2"/>
  <c r="AV871" i="2"/>
  <c r="AS872" i="2"/>
  <c r="AT872" i="2"/>
  <c r="AU872" i="2"/>
  <c r="AV872" i="2"/>
  <c r="AS873" i="2"/>
  <c r="AT873" i="2"/>
  <c r="AU873" i="2"/>
  <c r="AV873" i="2"/>
  <c r="AS874" i="2"/>
  <c r="AT874" i="2"/>
  <c r="AU874" i="2"/>
  <c r="AV874" i="2"/>
  <c r="AS875" i="2"/>
  <c r="AT875" i="2"/>
  <c r="AU875" i="2"/>
  <c r="AV875" i="2"/>
  <c r="AS876" i="2"/>
  <c r="AT876" i="2"/>
  <c r="AU876" i="2"/>
  <c r="AV876" i="2"/>
  <c r="AS877" i="2"/>
  <c r="AT877" i="2"/>
  <c r="AU877" i="2"/>
  <c r="AV877" i="2"/>
  <c r="AS878" i="2"/>
  <c r="AT878" i="2"/>
  <c r="AU878" i="2"/>
  <c r="AV878" i="2"/>
  <c r="AS879" i="2"/>
  <c r="AT879" i="2"/>
  <c r="AU879" i="2"/>
  <c r="AV879" i="2"/>
  <c r="AS880" i="2"/>
  <c r="AT880" i="2"/>
  <c r="AU880" i="2"/>
  <c r="AV880" i="2"/>
  <c r="AS881" i="2"/>
  <c r="AT881" i="2"/>
  <c r="AU881" i="2"/>
  <c r="AV881" i="2"/>
  <c r="AS882" i="2"/>
  <c r="AT882" i="2"/>
  <c r="AU882" i="2"/>
  <c r="AV882" i="2"/>
  <c r="AS883" i="2"/>
  <c r="AT883" i="2"/>
  <c r="AU883" i="2"/>
  <c r="AV883" i="2"/>
  <c r="AS884" i="2"/>
  <c r="AT884" i="2"/>
  <c r="AU884" i="2"/>
  <c r="AV884" i="2"/>
  <c r="AS885" i="2"/>
  <c r="AT885" i="2"/>
  <c r="AU885" i="2"/>
  <c r="AV885" i="2"/>
  <c r="AS886" i="2"/>
  <c r="AT886" i="2"/>
  <c r="AU886" i="2"/>
  <c r="AV886" i="2"/>
  <c r="AS887" i="2"/>
  <c r="AT887" i="2"/>
  <c r="AU887" i="2"/>
  <c r="AV887" i="2"/>
  <c r="AS888" i="2"/>
  <c r="AT888" i="2"/>
  <c r="AU888" i="2"/>
  <c r="AV888" i="2"/>
  <c r="AS889" i="2"/>
  <c r="AT889" i="2"/>
  <c r="AU889" i="2"/>
  <c r="AV889" i="2"/>
  <c r="AS890" i="2"/>
  <c r="AT890" i="2"/>
  <c r="AU890" i="2"/>
  <c r="AV890" i="2"/>
  <c r="AS891" i="2"/>
  <c r="AT891" i="2"/>
  <c r="AU891" i="2"/>
  <c r="AV891" i="2"/>
  <c r="AS892" i="2"/>
  <c r="AT892" i="2"/>
  <c r="AU892" i="2"/>
  <c r="AV892" i="2"/>
  <c r="AS893" i="2"/>
  <c r="AT893" i="2"/>
  <c r="AU893" i="2"/>
  <c r="AV893" i="2"/>
  <c r="AS894" i="2"/>
  <c r="AT894" i="2"/>
  <c r="AU894" i="2"/>
  <c r="AV894" i="2"/>
  <c r="AS895" i="2"/>
  <c r="AT895" i="2"/>
  <c r="AU895" i="2"/>
  <c r="AV895" i="2"/>
  <c r="AS896" i="2"/>
  <c r="AT896" i="2"/>
  <c r="AU896" i="2"/>
  <c r="AV896" i="2"/>
  <c r="AS897" i="2"/>
  <c r="AT897" i="2"/>
  <c r="AU897" i="2"/>
  <c r="AV897" i="2"/>
  <c r="AS898" i="2"/>
  <c r="AT898" i="2"/>
  <c r="AU898" i="2"/>
  <c r="AV898" i="2"/>
  <c r="AS899" i="2"/>
  <c r="AT899" i="2"/>
  <c r="AU899" i="2"/>
  <c r="AV899" i="2"/>
  <c r="AS900" i="2"/>
  <c r="AT900" i="2"/>
  <c r="AU900" i="2"/>
  <c r="AV900" i="2"/>
  <c r="AS901" i="2"/>
  <c r="AT901" i="2"/>
  <c r="AU901" i="2"/>
  <c r="AV901" i="2"/>
  <c r="AS902" i="2"/>
  <c r="AT902" i="2"/>
  <c r="AU902" i="2"/>
  <c r="AV902" i="2"/>
  <c r="AS903" i="2"/>
  <c r="AT903" i="2"/>
  <c r="AU903" i="2"/>
  <c r="AV903" i="2"/>
  <c r="AS904" i="2"/>
  <c r="AT904" i="2"/>
  <c r="AU904" i="2"/>
  <c r="AV904" i="2"/>
  <c r="AS905" i="2"/>
  <c r="AT905" i="2"/>
  <c r="AU905" i="2"/>
  <c r="AV905" i="2"/>
  <c r="AS906" i="2"/>
  <c r="AT906" i="2"/>
  <c r="AU906" i="2"/>
  <c r="AV906" i="2"/>
  <c r="AS907" i="2"/>
  <c r="AT907" i="2"/>
  <c r="AU907" i="2"/>
  <c r="AV907" i="2"/>
  <c r="AS908" i="2"/>
  <c r="AT908" i="2"/>
  <c r="AU908" i="2"/>
  <c r="AV908" i="2"/>
  <c r="AS909" i="2"/>
  <c r="AT909" i="2"/>
  <c r="AU909" i="2"/>
  <c r="AV909" i="2"/>
  <c r="AS910" i="2"/>
  <c r="AT910" i="2"/>
  <c r="AU910" i="2"/>
  <c r="AV910" i="2"/>
  <c r="AS911" i="2"/>
  <c r="AT911" i="2"/>
  <c r="AU911" i="2"/>
  <c r="AV911" i="2"/>
  <c r="AS912" i="2"/>
  <c r="AT912" i="2"/>
  <c r="AU912" i="2"/>
  <c r="AV912" i="2"/>
  <c r="AS913" i="2"/>
  <c r="AT913" i="2"/>
  <c r="AU913" i="2"/>
  <c r="AV913" i="2"/>
  <c r="AS914" i="2"/>
  <c r="AT914" i="2"/>
  <c r="AU914" i="2"/>
  <c r="AV914" i="2"/>
  <c r="AS915" i="2"/>
  <c r="AT915" i="2"/>
  <c r="AU915" i="2"/>
  <c r="AV915" i="2"/>
  <c r="AS916" i="2"/>
  <c r="AT916" i="2"/>
  <c r="AU916" i="2"/>
  <c r="AV916" i="2"/>
  <c r="AS917" i="2"/>
  <c r="AT917" i="2"/>
  <c r="AU917" i="2"/>
  <c r="AV917" i="2"/>
  <c r="AT3" i="2"/>
  <c r="AU3" i="2"/>
  <c r="AV3" i="2"/>
  <c r="AS3" i="2"/>
  <c r="AW441" i="2" l="1"/>
  <c r="AW425" i="2"/>
  <c r="AW646" i="2"/>
  <c r="AW529" i="2"/>
  <c r="AW215" i="2"/>
  <c r="AW153" i="2"/>
  <c r="AW151" i="2"/>
  <c r="AW106" i="2"/>
  <c r="AW42" i="2"/>
  <c r="AW782" i="2"/>
  <c r="AW778" i="2"/>
  <c r="AW777" i="2"/>
  <c r="AW775" i="2"/>
  <c r="AW758" i="2"/>
  <c r="AW738" i="2"/>
  <c r="AW702" i="2"/>
  <c r="AW339" i="2"/>
  <c r="AW309" i="2"/>
  <c r="AW306" i="2"/>
  <c r="AW305" i="2"/>
  <c r="AW293" i="2"/>
  <c r="AW258" i="2"/>
  <c r="AW194" i="2"/>
  <c r="AW82" i="2"/>
  <c r="AW18" i="2"/>
  <c r="AW361" i="2"/>
  <c r="AW335" i="2"/>
  <c r="AW242" i="2"/>
  <c r="AW237" i="2"/>
  <c r="AW21" i="2"/>
  <c r="AW680" i="2"/>
  <c r="AW677" i="2"/>
  <c r="AW676" i="2"/>
  <c r="AW673" i="2"/>
  <c r="AW600" i="2"/>
  <c r="AW596" i="2"/>
  <c r="AW592" i="2"/>
  <c r="AW591" i="2"/>
  <c r="AW588" i="2"/>
  <c r="AW585" i="2"/>
  <c r="AW577" i="2"/>
  <c r="AW569" i="2"/>
  <c r="AW568" i="2"/>
  <c r="AW567" i="2"/>
  <c r="AW565" i="2"/>
  <c r="AW553" i="2"/>
  <c r="AW453" i="2"/>
  <c r="AW450" i="2"/>
  <c r="AW373" i="2"/>
  <c r="AW370" i="2"/>
  <c r="AW277" i="2"/>
  <c r="AW261" i="2"/>
  <c r="AW178" i="2"/>
  <c r="AW173" i="2"/>
  <c r="AW130" i="2"/>
  <c r="AW125" i="2"/>
  <c r="AW114" i="2"/>
  <c r="AW98" i="2"/>
  <c r="AW726" i="2"/>
  <c r="AW616" i="2"/>
  <c r="AW505" i="2"/>
  <c r="AW501" i="2"/>
  <c r="AW500" i="2"/>
  <c r="AW479" i="2"/>
  <c r="AW476" i="2"/>
  <c r="AW401" i="2"/>
  <c r="AW393" i="2"/>
  <c r="AW392" i="2"/>
  <c r="AW391" i="2"/>
  <c r="AW385" i="2"/>
  <c r="AW285" i="2"/>
  <c r="AW283" i="2"/>
  <c r="AW210" i="2"/>
  <c r="AW197" i="2"/>
  <c r="AW66" i="2"/>
  <c r="AW61" i="2"/>
  <c r="AW50" i="2"/>
  <c r="AW34" i="2"/>
  <c r="AW617" i="2"/>
  <c r="AW533" i="2"/>
  <c r="AW525" i="2"/>
  <c r="AW421" i="2"/>
  <c r="AW146" i="2"/>
  <c r="AW85" i="2"/>
  <c r="AW626" i="2"/>
  <c r="AW622" i="2"/>
  <c r="AW620" i="2"/>
  <c r="AW601" i="2"/>
  <c r="AW226" i="2"/>
  <c r="AW811" i="2"/>
  <c r="AW800" i="2"/>
  <c r="AW798" i="2"/>
  <c r="AW660" i="2"/>
  <c r="AW652" i="2"/>
  <c r="AW648" i="2"/>
  <c r="AW636" i="2"/>
  <c r="AW485" i="2"/>
  <c r="AW481" i="2"/>
  <c r="AW480" i="2"/>
  <c r="AW465" i="2"/>
  <c r="AW162" i="2"/>
  <c r="AW916" i="2"/>
  <c r="AW913" i="2"/>
  <c r="AW912" i="2"/>
  <c r="AW909" i="2"/>
  <c r="AW908" i="2"/>
  <c r="AW905" i="2"/>
  <c r="AW904" i="2"/>
  <c r="AW901" i="2"/>
  <c r="AW900" i="2"/>
  <c r="AW897" i="2"/>
  <c r="AW896" i="2"/>
  <c r="AW893" i="2"/>
  <c r="AW892" i="2"/>
  <c r="AW889" i="2"/>
  <c r="AW888" i="2"/>
  <c r="AW885" i="2"/>
  <c r="AW884" i="2"/>
  <c r="AW881" i="2"/>
  <c r="AW880" i="2"/>
  <c r="AW877" i="2"/>
  <c r="AW876" i="2"/>
  <c r="AW873" i="2"/>
  <c r="AW872" i="2"/>
  <c r="AW869" i="2"/>
  <c r="AW868" i="2"/>
  <c r="AW865" i="2"/>
  <c r="AW864" i="2"/>
  <c r="AW862" i="2"/>
  <c r="AW861" i="2"/>
  <c r="AW860" i="2"/>
  <c r="AW858" i="2"/>
  <c r="AW857" i="2"/>
  <c r="AW856" i="2"/>
  <c r="AW854" i="2"/>
  <c r="AW853" i="2"/>
  <c r="AW852" i="2"/>
  <c r="AW850" i="2"/>
  <c r="AW849" i="2"/>
  <c r="AW848" i="2"/>
  <c r="AW748" i="2"/>
  <c r="AW746" i="2"/>
  <c r="AW744" i="2"/>
  <c r="AW732" i="2"/>
  <c r="AW730" i="2"/>
  <c r="AW728" i="2"/>
  <c r="AW712" i="2"/>
  <c r="AW710" i="2"/>
  <c r="AW708" i="2"/>
  <c r="AW704" i="2"/>
  <c r="AW562" i="2"/>
  <c r="AW561" i="2"/>
  <c r="AW537" i="2"/>
  <c r="AW513" i="2"/>
  <c r="AW381" i="2"/>
  <c r="AW473" i="2"/>
  <c r="AW449" i="2"/>
  <c r="AW417" i="2"/>
  <c r="AW416" i="2"/>
  <c r="AW415" i="2"/>
  <c r="AW412" i="2"/>
  <c r="AW405" i="2"/>
  <c r="AW389" i="2"/>
  <c r="AW386" i="2"/>
  <c r="AW330" i="2"/>
  <c r="AW329" i="2"/>
  <c r="AW328" i="2"/>
  <c r="AW326" i="2"/>
  <c r="AW325" i="2"/>
  <c r="AW322" i="2"/>
  <c r="AW281" i="2"/>
  <c r="AW278" i="2"/>
  <c r="AW253" i="2"/>
  <c r="AW249" i="2"/>
  <c r="AW231" i="2"/>
  <c r="AW213" i="2"/>
  <c r="AW189" i="2"/>
  <c r="AW185" i="2"/>
  <c r="AW170" i="2"/>
  <c r="AW167" i="2"/>
  <c r="AW149" i="2"/>
  <c r="AW133" i="2"/>
  <c r="AW109" i="2"/>
  <c r="AW69" i="2"/>
  <c r="AW45" i="2"/>
  <c r="AW23" i="2"/>
  <c r="AW5" i="2"/>
  <c r="AW762" i="2"/>
  <c r="AW754" i="2"/>
  <c r="AW718" i="2"/>
  <c r="AW717" i="2"/>
  <c r="AW715" i="2"/>
  <c r="AW692" i="2"/>
  <c r="AW688" i="2"/>
  <c r="AW661" i="2"/>
  <c r="AW656" i="2"/>
  <c r="AW632" i="2"/>
  <c r="AW606" i="2"/>
  <c r="AW604" i="2"/>
  <c r="AW573" i="2"/>
  <c r="AW549" i="2"/>
  <c r="AW548" i="2"/>
  <c r="AW545" i="2"/>
  <c r="AW540" i="2"/>
  <c r="AW517" i="2"/>
  <c r="AW514" i="2"/>
  <c r="AW489" i="2"/>
  <c r="AW457" i="2"/>
  <c r="AW456" i="2"/>
  <c r="AW455" i="2"/>
  <c r="AW433" i="2"/>
  <c r="AW426" i="2"/>
  <c r="AW397" i="2"/>
  <c r="AW377" i="2"/>
  <c r="AW376" i="2"/>
  <c r="AW375" i="2"/>
  <c r="AW369" i="2"/>
  <c r="AW353" i="2"/>
  <c r="AW314" i="2"/>
  <c r="AW310" i="2"/>
  <c r="AW290" i="2"/>
  <c r="AW289" i="2"/>
  <c r="AW288" i="2"/>
  <c r="AW263" i="2"/>
  <c r="AW245" i="2"/>
  <c r="AW221" i="2"/>
  <c r="AW217" i="2"/>
  <c r="AW199" i="2"/>
  <c r="AW181" i="2"/>
  <c r="AW157" i="2"/>
  <c r="AW138" i="2"/>
  <c r="AW117" i="2"/>
  <c r="AW93" i="2"/>
  <c r="AW74" i="2"/>
  <c r="AW53" i="2"/>
  <c r="AW29" i="2"/>
  <c r="AW25" i="2"/>
  <c r="AW7" i="2"/>
  <c r="AW846" i="2"/>
  <c r="AW845" i="2"/>
  <c r="AW844" i="2"/>
  <c r="AW841" i="2"/>
  <c r="AW838" i="2"/>
  <c r="AW837" i="2"/>
  <c r="AW836" i="2"/>
  <c r="AW834" i="2"/>
  <c r="AW833" i="2"/>
  <c r="AW832" i="2"/>
  <c r="AW830" i="2"/>
  <c r="AW829" i="2"/>
  <c r="AW828" i="2"/>
  <c r="AW826" i="2"/>
  <c r="AW825" i="2"/>
  <c r="AW824" i="2"/>
  <c r="AW822" i="2"/>
  <c r="AW821" i="2"/>
  <c r="AW820" i="2"/>
  <c r="AW818" i="2"/>
  <c r="AW817" i="2"/>
  <c r="AW816" i="2"/>
  <c r="AW814" i="2"/>
  <c r="AW813" i="2"/>
  <c r="AW812" i="2"/>
  <c r="AW794" i="2"/>
  <c r="AW774" i="2"/>
  <c r="AW772" i="2"/>
  <c r="AW768" i="2"/>
  <c r="AW764" i="2"/>
  <c r="AW742" i="2"/>
  <c r="AW698" i="2"/>
  <c r="AW697" i="2"/>
  <c r="AW695" i="2"/>
  <c r="AW666" i="2"/>
  <c r="AW641" i="2"/>
  <c r="AW637" i="2"/>
  <c r="AW612" i="2"/>
  <c r="AW608" i="2"/>
  <c r="AW581" i="2"/>
  <c r="AW521" i="2"/>
  <c r="AW520" i="2"/>
  <c r="AW519" i="2"/>
  <c r="AW497" i="2"/>
  <c r="AW490" i="2"/>
  <c r="AW469" i="2"/>
  <c r="AW461" i="2"/>
  <c r="AW437" i="2"/>
  <c r="AW436" i="2"/>
  <c r="AW409" i="2"/>
  <c r="AW357" i="2"/>
  <c r="AW356" i="2"/>
  <c r="AW354" i="2"/>
  <c r="AW345" i="2"/>
  <c r="AW344" i="2"/>
  <c r="AW343" i="2"/>
  <c r="AW342" i="2"/>
  <c r="AW298" i="2"/>
  <c r="AW294" i="2"/>
  <c r="AW274" i="2"/>
  <c r="AW273" i="2"/>
  <c r="AW247" i="2"/>
  <c r="AW229" i="2"/>
  <c r="AW205" i="2"/>
  <c r="AW183" i="2"/>
  <c r="AW165" i="2"/>
  <c r="AW141" i="2"/>
  <c r="AW121" i="2"/>
  <c r="AW101" i="2"/>
  <c r="AW77" i="2"/>
  <c r="AW57" i="2"/>
  <c r="AW55" i="2"/>
  <c r="AW37" i="2"/>
  <c r="AW13" i="2"/>
  <c r="AW10" i="2"/>
  <c r="AW694" i="2"/>
  <c r="AW664" i="2"/>
  <c r="AW917" i="2"/>
  <c r="AW915" i="2"/>
  <c r="AW914" i="2"/>
  <c r="AW911" i="2"/>
  <c r="AW910" i="2"/>
  <c r="AW907" i="2"/>
  <c r="AW906" i="2"/>
  <c r="AW903" i="2"/>
  <c r="AW902" i="2"/>
  <c r="AW899" i="2"/>
  <c r="AW898" i="2"/>
  <c r="AW895" i="2"/>
  <c r="AW894" i="2"/>
  <c r="AW891" i="2"/>
  <c r="AW890" i="2"/>
  <c r="AW887" i="2"/>
  <c r="AW886" i="2"/>
  <c r="AW883" i="2"/>
  <c r="AW882" i="2"/>
  <c r="AW879" i="2"/>
  <c r="AW878" i="2"/>
  <c r="AW875" i="2"/>
  <c r="AW874" i="2"/>
  <c r="AW871" i="2"/>
  <c r="AW870" i="2"/>
  <c r="AW867" i="2"/>
  <c r="AW866" i="2"/>
  <c r="AW863" i="2"/>
  <c r="AW859" i="2"/>
  <c r="AW855" i="2"/>
  <c r="AW851" i="2"/>
  <c r="AW847" i="2"/>
  <c r="AW843" i="2"/>
  <c r="AW839" i="2"/>
  <c r="AW835" i="2"/>
  <c r="AW831" i="2"/>
  <c r="AW827" i="2"/>
  <c r="AW823" i="2"/>
  <c r="AW819" i="2"/>
  <c r="AW815" i="2"/>
  <c r="AW810" i="2"/>
  <c r="AW809" i="2"/>
  <c r="AW808" i="2"/>
  <c r="AW806" i="2"/>
  <c r="AW805" i="2"/>
  <c r="AW804" i="2"/>
  <c r="AW802" i="2"/>
  <c r="AW801" i="2"/>
  <c r="AW799" i="2"/>
  <c r="AW792" i="2"/>
  <c r="AW790" i="2"/>
  <c r="AW788" i="2"/>
  <c r="AW784" i="2"/>
  <c r="AW773" i="2"/>
  <c r="AW769" i="2"/>
  <c r="AW766" i="2"/>
  <c r="AW765" i="2"/>
  <c r="AW763" i="2"/>
  <c r="AW737" i="2"/>
  <c r="AW734" i="2"/>
  <c r="AW733" i="2"/>
  <c r="AW731" i="2"/>
  <c r="AW669" i="2"/>
  <c r="AW644" i="2"/>
  <c r="AW807" i="2"/>
  <c r="AW803" i="2"/>
  <c r="AW796" i="2"/>
  <c r="AW793" i="2"/>
  <c r="AW791" i="2"/>
  <c r="AW789" i="2"/>
  <c r="AW785" i="2"/>
  <c r="AW780" i="2"/>
  <c r="AW770" i="2"/>
  <c r="AW786" i="2"/>
  <c r="AW781" i="2"/>
  <c r="AW779" i="2"/>
  <c r="AW757" i="2"/>
  <c r="AW753" i="2"/>
  <c r="AW750" i="2"/>
  <c r="AW749" i="2"/>
  <c r="AW747" i="2"/>
  <c r="AW722" i="2"/>
  <c r="AW714" i="2"/>
  <c r="AW713" i="2"/>
  <c r="AW711" i="2"/>
  <c r="AW685" i="2"/>
  <c r="AW628" i="2"/>
  <c r="AW538" i="2"/>
  <c r="AW528" i="2"/>
  <c r="AW527" i="2"/>
  <c r="AW524" i="2"/>
  <c r="AW509" i="2"/>
  <c r="AW504" i="2"/>
  <c r="AW503" i="2"/>
  <c r="AW498" i="2"/>
  <c r="AW484" i="2"/>
  <c r="AW474" i="2"/>
  <c r="AW464" i="2"/>
  <c r="AW463" i="2"/>
  <c r="AW460" i="2"/>
  <c r="AW445" i="2"/>
  <c r="AW440" i="2"/>
  <c r="AW439" i="2"/>
  <c r="AW434" i="2"/>
  <c r="AW420" i="2"/>
  <c r="AW410" i="2"/>
  <c r="AW400" i="2"/>
  <c r="AW399" i="2"/>
  <c r="AW396" i="2"/>
  <c r="AW380" i="2"/>
  <c r="AW365" i="2"/>
  <c r="AW360" i="2"/>
  <c r="AW359" i="2"/>
  <c r="AW319" i="2"/>
  <c r="AW266" i="2"/>
  <c r="AW202" i="2"/>
  <c r="AW693" i="2"/>
  <c r="AW689" i="2"/>
  <c r="AW682" i="2"/>
  <c r="AW674" i="2"/>
  <c r="AW668" i="2"/>
  <c r="AW667" i="2"/>
  <c r="AW662" i="2"/>
  <c r="AW653" i="2"/>
  <c r="AW642" i="2"/>
  <c r="AW638" i="2"/>
  <c r="AW633" i="2"/>
  <c r="AW618" i="2"/>
  <c r="AW613" i="2"/>
  <c r="AW602" i="2"/>
  <c r="AW597" i="2"/>
  <c r="AW589" i="2"/>
  <c r="AW584" i="2"/>
  <c r="AW583" i="2"/>
  <c r="AW578" i="2"/>
  <c r="AW564" i="2"/>
  <c r="AW554" i="2"/>
  <c r="AW544" i="2"/>
  <c r="AW543" i="2"/>
  <c r="AW760" i="2"/>
  <c r="AW745" i="2"/>
  <c r="AW743" i="2"/>
  <c r="AW740" i="2"/>
  <c r="AW729" i="2"/>
  <c r="AW727" i="2"/>
  <c r="AW724" i="2"/>
  <c r="AW720" i="2"/>
  <c r="AW709" i="2"/>
  <c r="AW705" i="2"/>
  <c r="AW700" i="2"/>
  <c r="AW690" i="2"/>
  <c r="AW684" i="2"/>
  <c r="AW683" i="2"/>
  <c r="AW681" i="2"/>
  <c r="AW678" i="2"/>
  <c r="AW670" i="2"/>
  <c r="AW658" i="2"/>
  <c r="AW654" i="2"/>
  <c r="AW649" i="2"/>
  <c r="AW634" i="2"/>
  <c r="AW629" i="2"/>
  <c r="AW624" i="2"/>
  <c r="AW614" i="2"/>
  <c r="AW609" i="2"/>
  <c r="AW598" i="2"/>
  <c r="AW593" i="2"/>
  <c r="AW580" i="2"/>
  <c r="AW570" i="2"/>
  <c r="AW560" i="2"/>
  <c r="AW559" i="2"/>
  <c r="AW556" i="2"/>
  <c r="AW541" i="2"/>
  <c r="AW536" i="2"/>
  <c r="AW535" i="2"/>
  <c r="AW530" i="2"/>
  <c r="AW516" i="2"/>
  <c r="AW506" i="2"/>
  <c r="AW496" i="2"/>
  <c r="AW495" i="2"/>
  <c r="AW492" i="2"/>
  <c r="AW477" i="2"/>
  <c r="AW472" i="2"/>
  <c r="AW466" i="2"/>
  <c r="AW452" i="2"/>
  <c r="AW442" i="2"/>
  <c r="AW432" i="2"/>
  <c r="AW431" i="2"/>
  <c r="AW428" i="2"/>
  <c r="AW413" i="2"/>
  <c r="AW408" i="2"/>
  <c r="AW407" i="2"/>
  <c r="AW402" i="2"/>
  <c r="AW388" i="2"/>
  <c r="AW372" i="2"/>
  <c r="AW362" i="2"/>
  <c r="AW352" i="2"/>
  <c r="AW351" i="2"/>
  <c r="AW348" i="2"/>
  <c r="AW301" i="2"/>
  <c r="AW234" i="2"/>
  <c r="AW776" i="2"/>
  <c r="AW761" i="2"/>
  <c r="AW759" i="2"/>
  <c r="AW756" i="2"/>
  <c r="AW752" i="2"/>
  <c r="AW741" i="2"/>
  <c r="AW736" i="2"/>
  <c r="AW725" i="2"/>
  <c r="AW721" i="2"/>
  <c r="AW716" i="2"/>
  <c r="AW706" i="2"/>
  <c r="AW701" i="2"/>
  <c r="AW699" i="2"/>
  <c r="AW696" i="2"/>
  <c r="AW686" i="2"/>
  <c r="AW672" i="2"/>
  <c r="AW665" i="2"/>
  <c r="AW650" i="2"/>
  <c r="AW645" i="2"/>
  <c r="AW630" i="2"/>
  <c r="AW625" i="2"/>
  <c r="AW621" i="2"/>
  <c r="AW610" i="2"/>
  <c r="AW605" i="2"/>
  <c r="AW594" i="2"/>
  <c r="AW586" i="2"/>
  <c r="AW576" i="2"/>
  <c r="AW575" i="2"/>
  <c r="AW572" i="2"/>
  <c r="AW557" i="2"/>
  <c r="AW552" i="2"/>
  <c r="AW551" i="2"/>
  <c r="AW546" i="2"/>
  <c r="AW532" i="2"/>
  <c r="AW522" i="2"/>
  <c r="AW512" i="2"/>
  <c r="AW511" i="2"/>
  <c r="AW508" i="2"/>
  <c r="AW493" i="2"/>
  <c r="AW488" i="2"/>
  <c r="AW487" i="2"/>
  <c r="AW482" i="2"/>
  <c r="AW468" i="2"/>
  <c r="AW458" i="2"/>
  <c r="AW448" i="2"/>
  <c r="AW447" i="2"/>
  <c r="AW444" i="2"/>
  <c r="AW429" i="2"/>
  <c r="AW424" i="2"/>
  <c r="AW423" i="2"/>
  <c r="AW418" i="2"/>
  <c r="AW404" i="2"/>
  <c r="AW394" i="2"/>
  <c r="AW384" i="2"/>
  <c r="AW383" i="2"/>
  <c r="AW378" i="2"/>
  <c r="AW368" i="2"/>
  <c r="AW367" i="2"/>
  <c r="AW364" i="2"/>
  <c r="AW349" i="2"/>
  <c r="AW341" i="2"/>
  <c r="AW331" i="2"/>
  <c r="AW89" i="2"/>
  <c r="AW338" i="2"/>
  <c r="AW337" i="2"/>
  <c r="AW334" i="2"/>
  <c r="AW327" i="2"/>
  <c r="AW317" i="2"/>
  <c r="AW313" i="2"/>
  <c r="AW302" i="2"/>
  <c r="AW297" i="2"/>
  <c r="AW286" i="2"/>
  <c r="AW270" i="2"/>
  <c r="AW255" i="2"/>
  <c r="AW250" i="2"/>
  <c r="AW239" i="2"/>
  <c r="AW223" i="2"/>
  <c r="AW218" i="2"/>
  <c r="AW207" i="2"/>
  <c r="AW191" i="2"/>
  <c r="AW186" i="2"/>
  <c r="AW175" i="2"/>
  <c r="AW159" i="2"/>
  <c r="AW154" i="2"/>
  <c r="AW143" i="2"/>
  <c r="AW122" i="2"/>
  <c r="AW90" i="2"/>
  <c r="AW58" i="2"/>
  <c r="AW31" i="2"/>
  <c r="AW26" i="2"/>
  <c r="AW15" i="2"/>
  <c r="AW318" i="2"/>
  <c r="AW303" i="2"/>
  <c r="AW287" i="2"/>
  <c r="AW282" i="2"/>
  <c r="AW271" i="2"/>
  <c r="AW262" i="2"/>
  <c r="AW257" i="2"/>
  <c r="AW256" i="2"/>
  <c r="AW251" i="2"/>
  <c r="AW246" i="2"/>
  <c r="AW241" i="2"/>
  <c r="AW230" i="2"/>
  <c r="AW225" i="2"/>
  <c r="AW224" i="2"/>
  <c r="AW219" i="2"/>
  <c r="AW214" i="2"/>
  <c r="AW209" i="2"/>
  <c r="AW208" i="2"/>
  <c r="AW198" i="2"/>
  <c r="AW193" i="2"/>
  <c r="AW192" i="2"/>
  <c r="AW187" i="2"/>
  <c r="AW182" i="2"/>
  <c r="AW177" i="2"/>
  <c r="AW176" i="2"/>
  <c r="AW166" i="2"/>
  <c r="AW161" i="2"/>
  <c r="AW160" i="2"/>
  <c r="AW155" i="2"/>
  <c r="AW150" i="2"/>
  <c r="AW145" i="2"/>
  <c r="AW144" i="2"/>
  <c r="AW134" i="2"/>
  <c r="AW129" i="2"/>
  <c r="AW128" i="2"/>
  <c r="AW127" i="2"/>
  <c r="AW118" i="2"/>
  <c r="AW113" i="2"/>
  <c r="AW112" i="2"/>
  <c r="AW111" i="2"/>
  <c r="AW102" i="2"/>
  <c r="AW97" i="2"/>
  <c r="AW96" i="2"/>
  <c r="AW95" i="2"/>
  <c r="AW86" i="2"/>
  <c r="AW81" i="2"/>
  <c r="AW80" i="2"/>
  <c r="AW79" i="2"/>
  <c r="AW70" i="2"/>
  <c r="AW65" i="2"/>
  <c r="AW64" i="2"/>
  <c r="AW63" i="2"/>
  <c r="AW59" i="2"/>
  <c r="AW54" i="2"/>
  <c r="AW49" i="2"/>
  <c r="AW48" i="2"/>
  <c r="AW47" i="2"/>
  <c r="AW38" i="2"/>
  <c r="AW33" i="2"/>
  <c r="AW32" i="2"/>
  <c r="AW27" i="2"/>
  <c r="AW22" i="2"/>
  <c r="AW17" i="2"/>
  <c r="AW16" i="2"/>
  <c r="AW6" i="2"/>
  <c r="AW321" i="2"/>
  <c r="AW311" i="2"/>
  <c r="AW295" i="2"/>
  <c r="AW279" i="2"/>
  <c r="AW269" i="2"/>
  <c r="AW265" i="2"/>
  <c r="AW254" i="2"/>
  <c r="AW238" i="2"/>
  <c r="AW233" i="2"/>
  <c r="AW232" i="2"/>
  <c r="AW222" i="2"/>
  <c r="AW216" i="2"/>
  <c r="AW206" i="2"/>
  <c r="AW201" i="2"/>
  <c r="AW200" i="2"/>
  <c r="AW190" i="2"/>
  <c r="AW184" i="2"/>
  <c r="AW174" i="2"/>
  <c r="AW169" i="2"/>
  <c r="AW168" i="2"/>
  <c r="AW158" i="2"/>
  <c r="AW152" i="2"/>
  <c r="AW142" i="2"/>
  <c r="AW137" i="2"/>
  <c r="AW136" i="2"/>
  <c r="AW135" i="2"/>
  <c r="AW126" i="2"/>
  <c r="AW120" i="2"/>
  <c r="AW119" i="2"/>
  <c r="AW110" i="2"/>
  <c r="AW105" i="2"/>
  <c r="AW104" i="2"/>
  <c r="AW103" i="2"/>
  <c r="AW94" i="2"/>
  <c r="AW88" i="2"/>
  <c r="AW87" i="2"/>
  <c r="AW78" i="2"/>
  <c r="AW73" i="2"/>
  <c r="AW72" i="2"/>
  <c r="AW71" i="2"/>
  <c r="AW62" i="2"/>
  <c r="AW56" i="2"/>
  <c r="AW46" i="2"/>
  <c r="AW41" i="2"/>
  <c r="AW40" i="2"/>
  <c r="AW39" i="2"/>
  <c r="AW30" i="2"/>
  <c r="AW24" i="2"/>
  <c r="AW14" i="2"/>
  <c r="AW9" i="2"/>
  <c r="AW8" i="2"/>
  <c r="AW795" i="2"/>
  <c r="AW783" i="2"/>
  <c r="AW767" i="2"/>
  <c r="AW751" i="2"/>
  <c r="AW735" i="2"/>
  <c r="AW719" i="2"/>
  <c r="AW703" i="2"/>
  <c r="AW797" i="2"/>
  <c r="AW787" i="2"/>
  <c r="AW771" i="2"/>
  <c r="AW755" i="2"/>
  <c r="AW739" i="2"/>
  <c r="AW723" i="2"/>
  <c r="AW707" i="2"/>
  <c r="AW691" i="2"/>
  <c r="AW679" i="2"/>
  <c r="AW663" i="2"/>
  <c r="AW647" i="2"/>
  <c r="AW639" i="2"/>
  <c r="AW631" i="2"/>
  <c r="AW623" i="2"/>
  <c r="AW615" i="2"/>
  <c r="AW607" i="2"/>
  <c r="AW599" i="2"/>
  <c r="AW587" i="2"/>
  <c r="AW582" i="2"/>
  <c r="AW571" i="2"/>
  <c r="AW566" i="2"/>
  <c r="AW555" i="2"/>
  <c r="AW550" i="2"/>
  <c r="AW539" i="2"/>
  <c r="AW534" i="2"/>
  <c r="AW523" i="2"/>
  <c r="AW518" i="2"/>
  <c r="AW507" i="2"/>
  <c r="AW502" i="2"/>
  <c r="AW491" i="2"/>
  <c r="AW486" i="2"/>
  <c r="AW475" i="2"/>
  <c r="AW459" i="2"/>
  <c r="AW454" i="2"/>
  <c r="AW443" i="2"/>
  <c r="AW438" i="2"/>
  <c r="AW427" i="2"/>
  <c r="AW422" i="2"/>
  <c r="AW411" i="2"/>
  <c r="AW406" i="2"/>
  <c r="AW395" i="2"/>
  <c r="AW390" i="2"/>
  <c r="AW379" i="2"/>
  <c r="AW374" i="2"/>
  <c r="AW363" i="2"/>
  <c r="AW358" i="2"/>
  <c r="AW347" i="2"/>
  <c r="AW346" i="2"/>
  <c r="AW333" i="2"/>
  <c r="AW687" i="2"/>
  <c r="AW671" i="2"/>
  <c r="AW659" i="2"/>
  <c r="AW651" i="2"/>
  <c r="AW643" i="2"/>
  <c r="AW635" i="2"/>
  <c r="AW627" i="2"/>
  <c r="AW619" i="2"/>
  <c r="AW611" i="2"/>
  <c r="AW603" i="2"/>
  <c r="AW595" i="2"/>
  <c r="AW590" i="2"/>
  <c r="AW579" i="2"/>
  <c r="AW574" i="2"/>
  <c r="AW563" i="2"/>
  <c r="AW558" i="2"/>
  <c r="AW547" i="2"/>
  <c r="AW542" i="2"/>
  <c r="AW531" i="2"/>
  <c r="AW526" i="2"/>
  <c r="AW515" i="2"/>
  <c r="AW510" i="2"/>
  <c r="AW499" i="2"/>
  <c r="AW494" i="2"/>
  <c r="AW483" i="2"/>
  <c r="AW478" i="2"/>
  <c r="AW467" i="2"/>
  <c r="AW462" i="2"/>
  <c r="AW451" i="2"/>
  <c r="AW446" i="2"/>
  <c r="AW435" i="2"/>
  <c r="AW430" i="2"/>
  <c r="AW419" i="2"/>
  <c r="AW414" i="2"/>
  <c r="AW403" i="2"/>
  <c r="AW398" i="2"/>
  <c r="AW387" i="2"/>
  <c r="AW382" i="2"/>
  <c r="AW371" i="2"/>
  <c r="AW366" i="2"/>
  <c r="AW355" i="2"/>
  <c r="AW675" i="2"/>
  <c r="AW350" i="2"/>
  <c r="AW332" i="2"/>
  <c r="AW320" i="2"/>
  <c r="AW312" i="2"/>
  <c r="AW304" i="2"/>
  <c r="AW296" i="2"/>
  <c r="AW291" i="2"/>
  <c r="AW264" i="2"/>
  <c r="AW259" i="2"/>
  <c r="AW227" i="2"/>
  <c r="AW195" i="2"/>
  <c r="AW163" i="2"/>
  <c r="AW336" i="2"/>
  <c r="AW323" i="2"/>
  <c r="AW315" i="2"/>
  <c r="AW307" i="2"/>
  <c r="AW299" i="2"/>
  <c r="AW272" i="2"/>
  <c r="AW267" i="2"/>
  <c r="AW240" i="2"/>
  <c r="AW235" i="2"/>
  <c r="AW203" i="2"/>
  <c r="AW171" i="2"/>
  <c r="AW139" i="2"/>
  <c r="AW75" i="2"/>
  <c r="AW11" i="2"/>
  <c r="AW340" i="2"/>
  <c r="AW324" i="2"/>
  <c r="AW316" i="2"/>
  <c r="AW308" i="2"/>
  <c r="AW280" i="2"/>
  <c r="AW275" i="2"/>
  <c r="AW248" i="2"/>
  <c r="AW243" i="2"/>
  <c r="AW211" i="2"/>
  <c r="AW179" i="2"/>
  <c r="AW147" i="2"/>
  <c r="AW51" i="2"/>
  <c r="AW19" i="2"/>
  <c r="AW300" i="2"/>
  <c r="AW292" i="2"/>
  <c r="AW284" i="2"/>
  <c r="AW276" i="2"/>
  <c r="AW268" i="2"/>
  <c r="AW260" i="2"/>
  <c r="AW252" i="2"/>
  <c r="AW244" i="2"/>
  <c r="AW236" i="2"/>
  <c r="AW228" i="2"/>
  <c r="AW220" i="2"/>
  <c r="AW212" i="2"/>
  <c r="AW204" i="2"/>
  <c r="AW196" i="2"/>
  <c r="AW188" i="2"/>
  <c r="AW180" i="2"/>
  <c r="AW172" i="2"/>
  <c r="AW164" i="2"/>
  <c r="AW156" i="2"/>
  <c r="AW148" i="2"/>
  <c r="AW140" i="2"/>
  <c r="AW132" i="2"/>
  <c r="AW131" i="2"/>
  <c r="AW124" i="2"/>
  <c r="AW123" i="2"/>
  <c r="AW116" i="2"/>
  <c r="AW115" i="2"/>
  <c r="AW108" i="2"/>
  <c r="AW107" i="2"/>
  <c r="AW100" i="2"/>
  <c r="AW99" i="2"/>
  <c r="AW92" i="2"/>
  <c r="AW91" i="2"/>
  <c r="AW84" i="2"/>
  <c r="AW83" i="2"/>
  <c r="AW76" i="2"/>
  <c r="AW68" i="2"/>
  <c r="AW67" i="2"/>
  <c r="AW60" i="2"/>
  <c r="AW52" i="2"/>
  <c r="AW44" i="2"/>
  <c r="AW43" i="2"/>
  <c r="AW36" i="2"/>
  <c r="AW35" i="2"/>
  <c r="AW28" i="2"/>
  <c r="AW20" i="2"/>
  <c r="AW12" i="2"/>
  <c r="AW4" i="2"/>
  <c r="AW3" i="2"/>
  <c r="Y839" i="2"/>
  <c r="Y836" i="2"/>
  <c r="Y837" i="2" s="1"/>
  <c r="Y834" i="2"/>
  <c r="Y832" i="2"/>
  <c r="Y830" i="2"/>
  <c r="Y828" i="2"/>
  <c r="Y825" i="2"/>
  <c r="Y826" i="2" s="1"/>
  <c r="Y823" i="2"/>
  <c r="Y821" i="2"/>
  <c r="Y818" i="2"/>
  <c r="Y819" i="2" s="1"/>
  <c r="Y816" i="2"/>
  <c r="Y814" i="2"/>
  <c r="Y812" i="2"/>
  <c r="Y809" i="2"/>
  <c r="Y810" i="2" s="1"/>
  <c r="Y807" i="2"/>
  <c r="Y805" i="2"/>
  <c r="Y803" i="2"/>
  <c r="Y801" i="2"/>
  <c r="Y799" i="2"/>
  <c r="Y797" i="2"/>
  <c r="Y795" i="2"/>
  <c r="Y793" i="2"/>
  <c r="Y791" i="2"/>
  <c r="Y789" i="2"/>
  <c r="Y787" i="2"/>
  <c r="Y784" i="2"/>
  <c r="Y785" i="2" s="1"/>
  <c r="Y782" i="2"/>
  <c r="Y779" i="2"/>
  <c r="Y780" i="2" s="1"/>
  <c r="Y777" i="2"/>
  <c r="Y775" i="2"/>
  <c r="Y773" i="2"/>
  <c r="Y771" i="2"/>
  <c r="Y769" i="2"/>
  <c r="Y766" i="2"/>
  <c r="Y767" i="2" s="1"/>
  <c r="Y763" i="2"/>
  <c r="Y764" i="2" s="1"/>
  <c r="Y761" i="2"/>
  <c r="Y759" i="2"/>
  <c r="Y756" i="2"/>
  <c r="Y757" i="2" s="1"/>
  <c r="Y754" i="2"/>
  <c r="Y752" i="2"/>
  <c r="Y749" i="2"/>
  <c r="Y750" i="2" s="1"/>
  <c r="Y746" i="2"/>
  <c r="Y747" i="2" s="1"/>
  <c r="Y743" i="2"/>
  <c r="Y744" i="2" s="1"/>
  <c r="Y740" i="2"/>
  <c r="Y741" i="2" s="1"/>
  <c r="Y736" i="2"/>
  <c r="Y734" i="2"/>
  <c r="Y732" i="2"/>
  <c r="Y730" i="2"/>
  <c r="Y728" i="2"/>
  <c r="Y726" i="2"/>
  <c r="Y724" i="2"/>
  <c r="Y722" i="2"/>
  <c r="Y719" i="2"/>
  <c r="Y720" i="2" s="1"/>
  <c r="Y716" i="2"/>
  <c r="Y717" i="2" s="1"/>
  <c r="Y714" i="2"/>
  <c r="Y712" i="2"/>
  <c r="Y710" i="2"/>
  <c r="Y708" i="2"/>
  <c r="Y706" i="2"/>
  <c r="Y704" i="2"/>
  <c r="Y702" i="2"/>
  <c r="Y700" i="2"/>
  <c r="Y698" i="2"/>
  <c r="Y696" i="2"/>
  <c r="Y694" i="2"/>
  <c r="Y691" i="2"/>
  <c r="Y689" i="2"/>
  <c r="Y686" i="2"/>
  <c r="Y687" i="2" s="1"/>
  <c r="Y683" i="2"/>
  <c r="Y684" i="2" s="1"/>
  <c r="Y680" i="2"/>
  <c r="Y681" i="2" s="1"/>
  <c r="Y676" i="2"/>
  <c r="Y674" i="2"/>
  <c r="Y671" i="2"/>
  <c r="Y672" i="2" s="1"/>
  <c r="Y668" i="2"/>
  <c r="Y669" i="2" s="1"/>
  <c r="Y665" i="2"/>
  <c r="Y666" i="2" s="1"/>
  <c r="Y662" i="2"/>
  <c r="Y663" i="2" s="1"/>
  <c r="Y659" i="2"/>
  <c r="Y660" i="2" s="1"/>
  <c r="Y646" i="2"/>
  <c r="Y644" i="2"/>
  <c r="Y642" i="2"/>
  <c r="Y469" i="2"/>
  <c r="Y465" i="2"/>
  <c r="Y466" i="2" s="1"/>
  <c r="Y467" i="2" s="1"/>
  <c r="Y463" i="2"/>
  <c r="Y461" i="2"/>
  <c r="Y458" i="2"/>
  <c r="Y459" i="2" s="1"/>
  <c r="Y456" i="2"/>
  <c r="Y454" i="2"/>
  <c r="Y452" i="2"/>
  <c r="Y450" i="2"/>
  <c r="Y448" i="2"/>
  <c r="Y446" i="2"/>
  <c r="Y444" i="2"/>
  <c r="Y442" i="2"/>
  <c r="Y440" i="2"/>
  <c r="Y438" i="2"/>
  <c r="Y436" i="2"/>
  <c r="Y434" i="2"/>
  <c r="Y432" i="2"/>
  <c r="Y429" i="2"/>
  <c r="Y430" i="2" s="1"/>
  <c r="Y427" i="2"/>
  <c r="Y425" i="2"/>
  <c r="Y423" i="2"/>
  <c r="Y421" i="2"/>
  <c r="Y419" i="2"/>
  <c r="Y417" i="2"/>
  <c r="Y415" i="2"/>
  <c r="Y413" i="2"/>
  <c r="Y411" i="2"/>
  <c r="Y408" i="2"/>
  <c r="Y409" i="2" s="1"/>
  <c r="Y406" i="2"/>
  <c r="Y404" i="2"/>
  <c r="Y402" i="2"/>
  <c r="Y400" i="2"/>
  <c r="Y398" i="2"/>
  <c r="Y396" i="2"/>
  <c r="Y394" i="2"/>
  <c r="Y392" i="2"/>
  <c r="Y390" i="2"/>
  <c r="Y387" i="2"/>
  <c r="Y388" i="2" s="1"/>
  <c r="Y385" i="2"/>
  <c r="Y383" i="2"/>
  <c r="Y381" i="2"/>
  <c r="Y379" i="2"/>
  <c r="Y377" i="2"/>
  <c r="Y375" i="2"/>
  <c r="Y373" i="2"/>
  <c r="Y371" i="2"/>
  <c r="Y369" i="2"/>
  <c r="Y367" i="2"/>
  <c r="Y365" i="2"/>
  <c r="Y363" i="2"/>
  <c r="Y361" i="2"/>
  <c r="Y359" i="2"/>
  <c r="Y357" i="2"/>
  <c r="Y354" i="2"/>
  <c r="Y355" i="2" s="1"/>
  <c r="Y352" i="2"/>
  <c r="Y350" i="2"/>
  <c r="Y348" i="2"/>
  <c r="Y346" i="2"/>
  <c r="Y343" i="2"/>
  <c r="Y344" i="2" s="1"/>
  <c r="Y340" i="2"/>
  <c r="Y341" i="2" s="1"/>
  <c r="Y336" i="2"/>
  <c r="Y337" i="2" s="1"/>
  <c r="Y338" i="2" s="1"/>
  <c r="Y334" i="2"/>
  <c r="Y332" i="2"/>
  <c r="Y330" i="2"/>
  <c r="Y328" i="2"/>
  <c r="Y326" i="2"/>
  <c r="Y324" i="2"/>
  <c r="Y322" i="2"/>
  <c r="Y319" i="2"/>
  <c r="Y320" i="2" s="1"/>
  <c r="Y317" i="2"/>
  <c r="Y315" i="2"/>
  <c r="Y313" i="2"/>
  <c r="Y311" i="2"/>
  <c r="Y309" i="2"/>
  <c r="Y307" i="2"/>
  <c r="Y305" i="2"/>
  <c r="Y303" i="2"/>
  <c r="Y301" i="2"/>
  <c r="Y299" i="2"/>
  <c r="Y297" i="2"/>
  <c r="Y295" i="2"/>
  <c r="Y293" i="2"/>
  <c r="Y291" i="2"/>
  <c r="Y289" i="2"/>
  <c r="Y287" i="2"/>
  <c r="Y285" i="2"/>
  <c r="Y281" i="2"/>
  <c r="Y282" i="2" s="1"/>
  <c r="Y283" i="2" s="1"/>
  <c r="Y277" i="2"/>
  <c r="Y278" i="2" s="1"/>
  <c r="Y279" i="2" s="1"/>
  <c r="Y275" i="2"/>
  <c r="Y272" i="2"/>
  <c r="Y273" i="2" s="1"/>
  <c r="Y270" i="2"/>
  <c r="Y268" i="2"/>
  <c r="Y266" i="2"/>
  <c r="Y264" i="2"/>
  <c r="Y262" i="2"/>
  <c r="Y259" i="2"/>
  <c r="Y260" i="2" s="1"/>
  <c r="Y256" i="2"/>
  <c r="Y257" i="2" s="1"/>
  <c r="Y252" i="2"/>
  <c r="Y253" i="2" s="1"/>
  <c r="Y254" i="2" s="1"/>
  <c r="Y248" i="2"/>
  <c r="Y249" i="2" s="1"/>
  <c r="Y250" i="2" s="1"/>
  <c r="Y246" i="2"/>
  <c r="Y244" i="2"/>
  <c r="Y242" i="2"/>
  <c r="Y240" i="2"/>
  <c r="Y236" i="2"/>
  <c r="Y237" i="2" s="1"/>
  <c r="Y238" i="2" s="1"/>
  <c r="Y234" i="2"/>
  <c r="Y231" i="2"/>
  <c r="Y232" i="2" s="1"/>
  <c r="Y229" i="2"/>
  <c r="Y226" i="2"/>
  <c r="Y227" i="2" s="1"/>
  <c r="Y222" i="2"/>
  <c r="Y223" i="2" s="1"/>
  <c r="Y224" i="2" s="1"/>
  <c r="Y220" i="2"/>
  <c r="Y218" i="2"/>
  <c r="Y215" i="2"/>
  <c r="Y216" i="2" s="1"/>
  <c r="Y213" i="2"/>
  <c r="Y210" i="2"/>
  <c r="Y211" i="2" s="1"/>
  <c r="Y208" i="2"/>
  <c r="Y205" i="2"/>
  <c r="Y206" i="2" s="1"/>
  <c r="Y203" i="2"/>
  <c r="Y201" i="2"/>
  <c r="Y198" i="2"/>
  <c r="Y199" i="2" s="1"/>
  <c r="Y196" i="2"/>
  <c r="Y194" i="2"/>
  <c r="Y191" i="2"/>
  <c r="Y192" i="2" s="1"/>
  <c r="Y188" i="2"/>
  <c r="Y189" i="2" s="1"/>
  <c r="Y185" i="2"/>
  <c r="Y186" i="2" s="1"/>
  <c r="Y183" i="2"/>
  <c r="Y181" i="2"/>
  <c r="Y179" i="2"/>
  <c r="Y176" i="2"/>
  <c r="Y177" i="2" s="1"/>
  <c r="Y174" i="2"/>
  <c r="Y171" i="2"/>
  <c r="Y172" i="2" s="1"/>
  <c r="Y168" i="2"/>
  <c r="Y169" i="2" s="1"/>
  <c r="Y165" i="2"/>
  <c r="Y166" i="2" s="1"/>
  <c r="Y162" i="2"/>
  <c r="Y163" i="2" s="1"/>
  <c r="Y160" i="2"/>
  <c r="Y158" i="2"/>
  <c r="Y155" i="2"/>
  <c r="Y156" i="2" s="1"/>
  <c r="Y152" i="2"/>
  <c r="Y153" i="2" s="1"/>
  <c r="Y149" i="2"/>
  <c r="Y150" i="2" s="1"/>
  <c r="Y146" i="2"/>
  <c r="Y147" i="2" s="1"/>
  <c r="Y144" i="2"/>
  <c r="Y141" i="2"/>
  <c r="Y142" i="2" s="1"/>
  <c r="Y138" i="2"/>
  <c r="Y139" i="2" s="1"/>
  <c r="Y136" i="2"/>
  <c r="Y130" i="2"/>
  <c r="Y131" i="2" s="1"/>
  <c r="Y132" i="2" s="1"/>
  <c r="Y133" i="2" s="1"/>
  <c r="Y134" i="2" s="1"/>
  <c r="Y124" i="2"/>
  <c r="Y125" i="2" s="1"/>
  <c r="Y126" i="2" s="1"/>
  <c r="Y127" i="2" s="1"/>
  <c r="Y128" i="2" s="1"/>
  <c r="Y121" i="2"/>
  <c r="Y122" i="2" s="1"/>
  <c r="Y118" i="2"/>
  <c r="Y119" i="2" s="1"/>
  <c r="Y115" i="2"/>
  <c r="Y116" i="2" s="1"/>
  <c r="Y112" i="2"/>
  <c r="Y113" i="2" s="1"/>
  <c r="Y110" i="2"/>
  <c r="Y107" i="2"/>
  <c r="Y108" i="2" s="1"/>
  <c r="Y105" i="2"/>
  <c r="Y102" i="2"/>
  <c r="Y103" i="2" s="1"/>
  <c r="Y100" i="2"/>
  <c r="Y98" i="2"/>
  <c r="Y96" i="2"/>
  <c r="Y94" i="2"/>
  <c r="Y92" i="2"/>
  <c r="Y90" i="2"/>
  <c r="Y88" i="2"/>
  <c r="Y85" i="2"/>
  <c r="Y86" i="2" s="1"/>
  <c r="Y82" i="2"/>
  <c r="Y83" i="2" s="1"/>
  <c r="Y79" i="2"/>
  <c r="Y80" i="2" s="1"/>
  <c r="Y76" i="2"/>
  <c r="Y77" i="2" s="1"/>
  <c r="Y74" i="2"/>
  <c r="Y72" i="2"/>
  <c r="Y69" i="2"/>
  <c r="Y70" i="2" s="1"/>
  <c r="Y66" i="2"/>
  <c r="Y67" i="2" s="1"/>
  <c r="Y64" i="2"/>
  <c r="Y61" i="2"/>
  <c r="Y62" i="2" s="1"/>
  <c r="Y58" i="2"/>
  <c r="Y59" i="2" s="1"/>
  <c r="Y55" i="2"/>
  <c r="Y56" i="2" s="1"/>
  <c r="Y52" i="2"/>
  <c r="Y53" i="2" s="1"/>
  <c r="Y49" i="2"/>
  <c r="Y50" i="2" s="1"/>
  <c r="Y46" i="2"/>
  <c r="Y47" i="2" s="1"/>
  <c r="Y44" i="2"/>
  <c r="Y41" i="2"/>
  <c r="Y42" i="2" s="1"/>
  <c r="Y39" i="2"/>
  <c r="Y36" i="2"/>
  <c r="Y37" i="2" s="1"/>
  <c r="Y34" i="2"/>
  <c r="Y32" i="2"/>
  <c r="Y30" i="2"/>
  <c r="Y27" i="2"/>
  <c r="Y28" i="2" s="1"/>
  <c r="Y25" i="2"/>
  <c r="Y22" i="2"/>
  <c r="Y23" i="2" s="1"/>
  <c r="Y19" i="2"/>
  <c r="Y20" i="2" s="1"/>
  <c r="Y17" i="2"/>
  <c r="Y15" i="2"/>
  <c r="Y13" i="2"/>
  <c r="Y11" i="2"/>
  <c r="Y9" i="2"/>
  <c r="Y7" i="2"/>
  <c r="Y4" i="2"/>
  <c r="Y5" i="2" s="1"/>
  <c r="W839" i="2"/>
  <c r="W836" i="2"/>
  <c r="W837" i="2" s="1"/>
  <c r="W834" i="2"/>
  <c r="W832" i="2"/>
  <c r="W830" i="2"/>
  <c r="W828" i="2"/>
  <c r="W825" i="2"/>
  <c r="W826" i="2" s="1"/>
  <c r="W823" i="2"/>
  <c r="W821" i="2"/>
  <c r="W818" i="2"/>
  <c r="W819" i="2" s="1"/>
  <c r="W816" i="2"/>
  <c r="W812" i="2"/>
  <c r="W809" i="2"/>
  <c r="W810" i="2" s="1"/>
  <c r="W807" i="2"/>
  <c r="W805" i="2"/>
  <c r="W803" i="2"/>
  <c r="W801" i="2"/>
  <c r="W799" i="2"/>
  <c r="W797" i="2"/>
  <c r="W795" i="2"/>
  <c r="W793" i="2"/>
  <c r="W791" i="2"/>
  <c r="W789" i="2"/>
  <c r="W787" i="2"/>
  <c r="W784" i="2"/>
  <c r="W785" i="2" s="1"/>
  <c r="W782" i="2"/>
  <c r="W779" i="2"/>
  <c r="W780" i="2" s="1"/>
  <c r="W777" i="2"/>
  <c r="W775" i="2"/>
  <c r="W773" i="2"/>
  <c r="W771" i="2"/>
  <c r="W769" i="2"/>
  <c r="W766" i="2"/>
  <c r="W767" i="2" s="1"/>
  <c r="W763" i="2"/>
  <c r="W764" i="2" s="1"/>
  <c r="W761" i="2"/>
  <c r="W759" i="2"/>
  <c r="W756" i="2"/>
  <c r="W754" i="2"/>
  <c r="W752" i="2"/>
  <c r="W749" i="2"/>
  <c r="W750" i="2" s="1"/>
  <c r="W746" i="2"/>
  <c r="W747" i="2" s="1"/>
  <c r="W743" i="2"/>
  <c r="W744" i="2" s="1"/>
  <c r="W740" i="2"/>
  <c r="W741" i="2" s="1"/>
  <c r="W738" i="2"/>
  <c r="W736" i="2"/>
  <c r="W734" i="2"/>
  <c r="W732" i="2"/>
  <c r="W730" i="2"/>
  <c r="W728" i="2"/>
  <c r="W726" i="2"/>
  <c r="W724" i="2"/>
  <c r="W719" i="2"/>
  <c r="W720" i="2" s="1"/>
  <c r="W716" i="2"/>
  <c r="W717" i="2" s="1"/>
  <c r="W714" i="2"/>
  <c r="W712" i="2"/>
  <c r="W710" i="2"/>
  <c r="W708" i="2"/>
  <c r="W706" i="2"/>
  <c r="W704" i="2"/>
  <c r="W702" i="2"/>
  <c r="W700" i="2"/>
  <c r="W698" i="2"/>
  <c r="W696" i="2"/>
  <c r="W694" i="2"/>
  <c r="W691" i="2"/>
  <c r="W692" i="2" s="1"/>
  <c r="W689" i="2"/>
  <c r="W686" i="2"/>
  <c r="W687" i="2" s="1"/>
  <c r="W683" i="2"/>
  <c r="W684" i="2" s="1"/>
  <c r="W680" i="2"/>
  <c r="W681" i="2" s="1"/>
  <c r="W678" i="2"/>
  <c r="W676" i="2"/>
  <c r="W674" i="2"/>
  <c r="W671" i="2"/>
  <c r="W672" i="2" s="1"/>
  <c r="W668" i="2"/>
  <c r="W669" i="2" s="1"/>
  <c r="W665" i="2"/>
  <c r="W666" i="2" s="1"/>
  <c r="W662" i="2"/>
  <c r="W663" i="2" s="1"/>
  <c r="W659" i="2"/>
  <c r="W660" i="2" s="1"/>
  <c r="W644" i="2"/>
  <c r="W646" i="2"/>
  <c r="W642" i="2"/>
  <c r="W469" i="2"/>
  <c r="W465" i="2"/>
  <c r="W466" i="2" s="1"/>
  <c r="W463" i="2"/>
  <c r="W461" i="2"/>
  <c r="W458" i="2"/>
  <c r="W459" i="2" s="1"/>
  <c r="W456" i="2"/>
  <c r="W454" i="2"/>
  <c r="W452" i="2"/>
  <c r="W450" i="2"/>
  <c r="W448" i="2"/>
  <c r="W446" i="2"/>
  <c r="W444" i="2"/>
  <c r="W442" i="2"/>
  <c r="W440" i="2"/>
  <c r="W438" i="2"/>
  <c r="W436" i="2"/>
  <c r="W434" i="2"/>
  <c r="W432" i="2"/>
  <c r="W429" i="2"/>
  <c r="W430" i="2" s="1"/>
  <c r="W427" i="2"/>
  <c r="W425" i="2"/>
  <c r="W423" i="2"/>
  <c r="W421" i="2"/>
  <c r="W419" i="2"/>
  <c r="W417" i="2"/>
  <c r="W415" i="2"/>
  <c r="W413" i="2"/>
  <c r="W411" i="2"/>
  <c r="W408" i="2"/>
  <c r="W409" i="2" s="1"/>
  <c r="W406" i="2"/>
  <c r="W404" i="2"/>
  <c r="W402" i="2"/>
  <c r="W400" i="2"/>
  <c r="W398" i="2"/>
  <c r="W396" i="2"/>
  <c r="W390" i="2"/>
  <c r="W387" i="2"/>
  <c r="W388" i="2" s="1"/>
  <c r="W385" i="2"/>
  <c r="W383" i="2"/>
  <c r="W381" i="2"/>
  <c r="W379" i="2"/>
  <c r="W377" i="2"/>
  <c r="W375" i="2"/>
  <c r="W373" i="2"/>
  <c r="W371" i="2"/>
  <c r="W369" i="2"/>
  <c r="W367" i="2"/>
  <c r="W365" i="2"/>
  <c r="W363" i="2"/>
  <c r="W361" i="2"/>
  <c r="W359" i="2"/>
  <c r="W357" i="2"/>
  <c r="W354" i="2"/>
  <c r="W355" i="2" s="1"/>
  <c r="W352" i="2"/>
  <c r="W350" i="2"/>
  <c r="W348" i="2"/>
  <c r="W346" i="2"/>
  <c r="W343" i="2"/>
  <c r="W344" i="2" s="1"/>
  <c r="W340" i="2"/>
  <c r="W341" i="2" s="1"/>
  <c r="W336" i="2"/>
  <c r="W337" i="2" s="1"/>
  <c r="W338" i="2" s="1"/>
  <c r="W334" i="2"/>
  <c r="W332" i="2"/>
  <c r="W330" i="2"/>
  <c r="W328" i="2"/>
  <c r="W326" i="2"/>
  <c r="W324" i="2"/>
  <c r="W322" i="2"/>
  <c r="W319" i="2"/>
  <c r="W320" i="2" s="1"/>
  <c r="W317" i="2"/>
  <c r="W315" i="2"/>
  <c r="W313" i="2"/>
  <c r="W311" i="2"/>
  <c r="W309" i="2"/>
  <c r="W307" i="2"/>
  <c r="W305" i="2"/>
  <c r="W303" i="2"/>
  <c r="W301" i="2"/>
  <c r="W299" i="2"/>
  <c r="W297" i="2"/>
  <c r="W295" i="2"/>
  <c r="W293" i="2"/>
  <c r="W291" i="2"/>
  <c r="W289" i="2"/>
  <c r="W287" i="2"/>
  <c r="W285" i="2"/>
  <c r="W281" i="2"/>
  <c r="W282" i="2" s="1"/>
  <c r="W283" i="2" s="1"/>
  <c r="W277" i="2"/>
  <c r="W278" i="2" s="1"/>
  <c r="W279" i="2" s="1"/>
  <c r="W275" i="2"/>
  <c r="W272" i="2"/>
  <c r="W273" i="2" s="1"/>
  <c r="W270" i="2"/>
  <c r="W268" i="2"/>
  <c r="W266" i="2"/>
  <c r="W264" i="2"/>
  <c r="W262" i="2"/>
  <c r="W259" i="2"/>
  <c r="W256" i="2"/>
  <c r="W252" i="2"/>
  <c r="W248" i="2"/>
  <c r="W246" i="2"/>
  <c r="W244" i="2"/>
  <c r="W242" i="2"/>
  <c r="W240" i="2"/>
  <c r="W236" i="2"/>
  <c r="W237" i="2" s="1"/>
  <c r="W238" i="2" s="1"/>
  <c r="W234" i="2"/>
  <c r="W231" i="2"/>
  <c r="W232" i="2" s="1"/>
  <c r="W229" i="2"/>
  <c r="W226" i="2"/>
  <c r="W227" i="2" s="1"/>
  <c r="W222" i="2"/>
  <c r="W223" i="2" s="1"/>
  <c r="W224" i="2" s="1"/>
  <c r="W220" i="2"/>
  <c r="W218" i="2"/>
  <c r="W215" i="2"/>
  <c r="W216" i="2" s="1"/>
  <c r="W213" i="2"/>
  <c r="W210" i="2"/>
  <c r="W211" i="2" s="1"/>
  <c r="W208" i="2"/>
  <c r="W205" i="2"/>
  <c r="W206" i="2" s="1"/>
  <c r="W203" i="2"/>
  <c r="W201" i="2"/>
  <c r="W198" i="2"/>
  <c r="W199" i="2" s="1"/>
  <c r="W196" i="2"/>
  <c r="W194" i="2"/>
  <c r="W191" i="2"/>
  <c r="W192" i="2" s="1"/>
  <c r="W188" i="2"/>
  <c r="W189" i="2" s="1"/>
  <c r="W185" i="2"/>
  <c r="W186" i="2" s="1"/>
  <c r="W183" i="2"/>
  <c r="W181" i="2"/>
  <c r="W179" i="2"/>
  <c r="W176" i="2"/>
  <c r="W177" i="2" s="1"/>
  <c r="W174" i="2"/>
  <c r="W171" i="2"/>
  <c r="W172" i="2" s="1"/>
  <c r="W168" i="2"/>
  <c r="W169" i="2" s="1"/>
  <c r="W165" i="2"/>
  <c r="W166" i="2" s="1"/>
  <c r="W162" i="2"/>
  <c r="W163" i="2" s="1"/>
  <c r="W160" i="2"/>
  <c r="W158" i="2"/>
  <c r="W155" i="2"/>
  <c r="W156" i="2" s="1"/>
  <c r="W152" i="2"/>
  <c r="W153" i="2" s="1"/>
  <c r="W149" i="2"/>
  <c r="W150" i="2" s="1"/>
  <c r="W146" i="2"/>
  <c r="W147" i="2" s="1"/>
  <c r="W144" i="2"/>
  <c r="W141" i="2"/>
  <c r="W142" i="2" s="1"/>
  <c r="W138" i="2"/>
  <c r="W139" i="2" s="1"/>
  <c r="W136" i="2"/>
  <c r="W130" i="2"/>
  <c r="W131" i="2" s="1"/>
  <c r="W132" i="2" s="1"/>
  <c r="W133" i="2" s="1"/>
  <c r="W134" i="2" s="1"/>
  <c r="W124" i="2"/>
  <c r="W125" i="2" s="1"/>
  <c r="W126" i="2" s="1"/>
  <c r="W127" i="2" s="1"/>
  <c r="W128" i="2" s="1"/>
  <c r="W121" i="2"/>
  <c r="W122" i="2" s="1"/>
  <c r="W118" i="2"/>
  <c r="W119" i="2" s="1"/>
  <c r="W115" i="2"/>
  <c r="W116" i="2" s="1"/>
  <c r="W112" i="2"/>
  <c r="W110" i="2"/>
  <c r="W107" i="2"/>
  <c r="W105" i="2"/>
  <c r="W102" i="2"/>
  <c r="W103" i="2" s="1"/>
  <c r="W100" i="2"/>
  <c r="W98" i="2"/>
  <c r="W96" i="2"/>
  <c r="W94" i="2"/>
  <c r="W92" i="2"/>
  <c r="W90" i="2"/>
  <c r="W88" i="2"/>
  <c r="W85" i="2"/>
  <c r="W86" i="2" s="1"/>
  <c r="W82" i="2"/>
  <c r="W83" i="2" s="1"/>
  <c r="W79" i="2"/>
  <c r="W80" i="2" s="1"/>
  <c r="W76" i="2"/>
  <c r="W77" i="2" s="1"/>
  <c r="W74" i="2"/>
  <c r="W72" i="2"/>
  <c r="W69" i="2"/>
  <c r="W70" i="2" s="1"/>
  <c r="W66" i="2"/>
  <c r="W67" i="2" s="1"/>
  <c r="W64" i="2"/>
  <c r="W61" i="2"/>
  <c r="W62" i="2" s="1"/>
  <c r="W58" i="2"/>
  <c r="W59" i="2" s="1"/>
  <c r="W55" i="2"/>
  <c r="W56" i="2" s="1"/>
  <c r="W52" i="2"/>
  <c r="W53" i="2" s="1"/>
  <c r="W49" i="2"/>
  <c r="W50" i="2" s="1"/>
  <c r="W46" i="2"/>
  <c r="W47" i="2" s="1"/>
  <c r="W44" i="2"/>
  <c r="W41" i="2"/>
  <c r="W42" i="2" s="1"/>
  <c r="W39" i="2"/>
  <c r="W36" i="2"/>
  <c r="W37" i="2" s="1"/>
  <c r="W34" i="2"/>
  <c r="W32" i="2"/>
  <c r="W30" i="2"/>
  <c r="W27" i="2"/>
  <c r="W28" i="2" s="1"/>
  <c r="W25" i="2"/>
  <c r="W22" i="2"/>
  <c r="W23" i="2" s="1"/>
  <c r="W19" i="2"/>
  <c r="W20" i="2" s="1"/>
  <c r="W17" i="2"/>
  <c r="W15" i="2"/>
  <c r="W13" i="2"/>
  <c r="W11" i="2"/>
  <c r="W9" i="2"/>
  <c r="W7" i="2"/>
  <c r="W4" i="2"/>
  <c r="W5" i="2" s="1"/>
  <c r="U839" i="2"/>
  <c r="U836" i="2"/>
  <c r="U837" i="2" s="1"/>
  <c r="U834" i="2"/>
  <c r="U832" i="2"/>
  <c r="U830" i="2"/>
  <c r="U828" i="2"/>
  <c r="U825" i="2"/>
  <c r="U826" i="2" s="1"/>
  <c r="U823" i="2"/>
  <c r="U821" i="2"/>
  <c r="U818" i="2"/>
  <c r="U819" i="2" s="1"/>
  <c r="U816" i="2"/>
  <c r="U814" i="2"/>
  <c r="U812" i="2"/>
  <c r="U809" i="2"/>
  <c r="U810" i="2" s="1"/>
  <c r="U807" i="2"/>
  <c r="U805" i="2"/>
  <c r="U803" i="2"/>
  <c r="U801" i="2"/>
  <c r="U799" i="2"/>
  <c r="U797" i="2"/>
  <c r="U795" i="2"/>
  <c r="U793" i="2"/>
  <c r="U791" i="2"/>
  <c r="U789" i="2"/>
  <c r="U787" i="2"/>
  <c r="U784" i="2"/>
  <c r="U785" i="2" s="1"/>
  <c r="U782" i="2"/>
  <c r="U779" i="2"/>
  <c r="U780" i="2" s="1"/>
  <c r="U777" i="2"/>
  <c r="U775" i="2"/>
  <c r="U773" i="2"/>
  <c r="U771" i="2"/>
  <c r="U769" i="2"/>
  <c r="U766" i="2"/>
  <c r="U767" i="2" s="1"/>
  <c r="U763" i="2"/>
  <c r="U764" i="2" s="1"/>
  <c r="U761" i="2"/>
  <c r="U759" i="2"/>
  <c r="U756" i="2"/>
  <c r="U757" i="2" s="1"/>
  <c r="U754" i="2"/>
  <c r="U752" i="2"/>
  <c r="U749" i="2"/>
  <c r="U750" i="2" s="1"/>
  <c r="U746" i="2"/>
  <c r="U747" i="2" s="1"/>
  <c r="U743" i="2"/>
  <c r="U744" i="2" s="1"/>
  <c r="U740" i="2"/>
  <c r="U741" i="2" s="1"/>
  <c r="U738" i="2"/>
  <c r="U736" i="2"/>
  <c r="U734" i="2"/>
  <c r="U732" i="2"/>
  <c r="U730" i="2"/>
  <c r="U728" i="2"/>
  <c r="U726" i="2"/>
  <c r="U724" i="2"/>
  <c r="U722" i="2"/>
  <c r="U719" i="2"/>
  <c r="U720" i="2" s="1"/>
  <c r="U716" i="2"/>
  <c r="U717" i="2" s="1"/>
  <c r="U714" i="2"/>
  <c r="U712" i="2"/>
  <c r="U710" i="2"/>
  <c r="U708" i="2"/>
  <c r="U706" i="2"/>
  <c r="U704" i="2"/>
  <c r="U702" i="2"/>
  <c r="U700" i="2"/>
  <c r="U698" i="2"/>
  <c r="U696" i="2"/>
  <c r="U694" i="2"/>
  <c r="U691" i="2"/>
  <c r="U692" i="2" s="1"/>
  <c r="U689" i="2"/>
  <c r="U686" i="2"/>
  <c r="U687" i="2" s="1"/>
  <c r="U683" i="2"/>
  <c r="U684" i="2" s="1"/>
  <c r="U680" i="2"/>
  <c r="U681" i="2" s="1"/>
  <c r="U678" i="2"/>
  <c r="U676" i="2"/>
  <c r="U674" i="2"/>
  <c r="U671" i="2"/>
  <c r="U672" i="2" s="1"/>
  <c r="U668" i="2"/>
  <c r="U669" i="2" s="1"/>
  <c r="U665" i="2"/>
  <c r="U666" i="2" s="1"/>
  <c r="U662" i="2"/>
  <c r="U663" i="2" s="1"/>
  <c r="U659" i="2"/>
  <c r="U660" i="2" s="1"/>
  <c r="U646" i="2"/>
  <c r="U644" i="2"/>
  <c r="U642" i="2"/>
  <c r="U469" i="2"/>
  <c r="U465" i="2"/>
  <c r="U466" i="2" s="1"/>
  <c r="U467" i="2" s="1"/>
  <c r="U463" i="2"/>
  <c r="U461" i="2"/>
  <c r="U458" i="2"/>
  <c r="U459" i="2" s="1"/>
  <c r="U456" i="2"/>
  <c r="U454" i="2"/>
  <c r="U452" i="2"/>
  <c r="U450" i="2"/>
  <c r="U448" i="2"/>
  <c r="U446" i="2"/>
  <c r="U444" i="2"/>
  <c r="U442" i="2"/>
  <c r="U440" i="2"/>
  <c r="U438" i="2"/>
  <c r="U436" i="2"/>
  <c r="U434" i="2"/>
  <c r="U432" i="2"/>
  <c r="U429" i="2"/>
  <c r="U430" i="2" s="1"/>
  <c r="U427" i="2"/>
  <c r="U425" i="2"/>
  <c r="U423" i="2"/>
  <c r="U421" i="2"/>
  <c r="U419" i="2"/>
  <c r="U417" i="2"/>
  <c r="U415" i="2"/>
  <c r="U413" i="2"/>
  <c r="U411" i="2"/>
  <c r="U408" i="2"/>
  <c r="U409" i="2" s="1"/>
  <c r="U406" i="2"/>
  <c r="U404" i="2"/>
  <c r="U402" i="2"/>
  <c r="U400" i="2"/>
  <c r="U398" i="2"/>
  <c r="U396" i="2"/>
  <c r="U394" i="2"/>
  <c r="U392" i="2"/>
  <c r="U390" i="2"/>
  <c r="U387" i="2"/>
  <c r="U388" i="2" s="1"/>
  <c r="U385" i="2"/>
  <c r="U383" i="2"/>
  <c r="U381" i="2"/>
  <c r="U379" i="2"/>
  <c r="U377" i="2"/>
  <c r="U375" i="2"/>
  <c r="U373" i="2"/>
  <c r="U371" i="2"/>
  <c r="U369" i="2"/>
  <c r="U367" i="2"/>
  <c r="U365" i="2"/>
  <c r="U363" i="2"/>
  <c r="U361" i="2"/>
  <c r="U359" i="2"/>
  <c r="U357" i="2"/>
  <c r="U354" i="2"/>
  <c r="U355" i="2" s="1"/>
  <c r="U352" i="2"/>
  <c r="U350" i="2"/>
  <c r="U348" i="2"/>
  <c r="U346" i="2"/>
  <c r="U343" i="2"/>
  <c r="U344" i="2" s="1"/>
  <c r="U340" i="2"/>
  <c r="U341" i="2" s="1"/>
  <c r="U336" i="2"/>
  <c r="U337" i="2" s="1"/>
  <c r="U338" i="2" s="1"/>
  <c r="U334" i="2"/>
  <c r="U332" i="2"/>
  <c r="U330" i="2"/>
  <c r="U328" i="2"/>
  <c r="U326" i="2"/>
  <c r="U324" i="2"/>
  <c r="U322" i="2"/>
  <c r="U319" i="2"/>
  <c r="U320" i="2" s="1"/>
  <c r="U317" i="2"/>
  <c r="U315" i="2"/>
  <c r="U313" i="2"/>
  <c r="U311" i="2"/>
  <c r="U309" i="2"/>
  <c r="U307" i="2"/>
  <c r="U305" i="2"/>
  <c r="U303" i="2"/>
  <c r="U301" i="2"/>
  <c r="U299" i="2"/>
  <c r="U297" i="2"/>
  <c r="U295" i="2"/>
  <c r="U293" i="2"/>
  <c r="U291" i="2"/>
  <c r="U289" i="2"/>
  <c r="U287" i="2"/>
  <c r="U285" i="2"/>
  <c r="U281" i="2"/>
  <c r="U282" i="2" s="1"/>
  <c r="U283" i="2" s="1"/>
  <c r="U277" i="2"/>
  <c r="U278" i="2" s="1"/>
  <c r="U279" i="2" s="1"/>
  <c r="U275" i="2"/>
  <c r="U272" i="2"/>
  <c r="U273" i="2" s="1"/>
  <c r="U270" i="2"/>
  <c r="U268" i="2"/>
  <c r="U266" i="2"/>
  <c r="U264" i="2"/>
  <c r="U262" i="2"/>
  <c r="U259" i="2"/>
  <c r="U260" i="2" s="1"/>
  <c r="U256" i="2"/>
  <c r="U257" i="2" s="1"/>
  <c r="U252" i="2"/>
  <c r="U253" i="2" s="1"/>
  <c r="U254" i="2" s="1"/>
  <c r="U248" i="2"/>
  <c r="U249" i="2" s="1"/>
  <c r="U250" i="2" s="1"/>
  <c r="U246" i="2"/>
  <c r="U244" i="2"/>
  <c r="U242" i="2"/>
  <c r="U240" i="2"/>
  <c r="U236" i="2"/>
  <c r="U237" i="2" s="1"/>
  <c r="U238" i="2" s="1"/>
  <c r="U234" i="2"/>
  <c r="U231" i="2"/>
  <c r="U232" i="2" s="1"/>
  <c r="U229" i="2"/>
  <c r="U226" i="2"/>
  <c r="U227" i="2" s="1"/>
  <c r="U222" i="2"/>
  <c r="U223" i="2" s="1"/>
  <c r="U224" i="2" s="1"/>
  <c r="U220" i="2"/>
  <c r="U218" i="2"/>
  <c r="U215" i="2"/>
  <c r="U216" i="2" s="1"/>
  <c r="U213" i="2"/>
  <c r="U210" i="2"/>
  <c r="U211" i="2" s="1"/>
  <c r="U208" i="2"/>
  <c r="U205" i="2"/>
  <c r="U206" i="2" s="1"/>
  <c r="U203" i="2"/>
  <c r="U201" i="2"/>
  <c r="U199" i="2"/>
  <c r="U198" i="2"/>
  <c r="U196" i="2"/>
  <c r="U194" i="2"/>
  <c r="U192" i="2"/>
  <c r="U191" i="2"/>
  <c r="U188" i="2"/>
  <c r="U189" i="2" s="1"/>
  <c r="U185" i="2"/>
  <c r="U186" i="2" s="1"/>
  <c r="U183" i="2"/>
  <c r="U181" i="2"/>
  <c r="U179" i="2"/>
  <c r="U176" i="2"/>
  <c r="U177" i="2" s="1"/>
  <c r="U174" i="2"/>
  <c r="U171" i="2"/>
  <c r="U172" i="2" s="1"/>
  <c r="U168" i="2"/>
  <c r="U169" i="2" s="1"/>
  <c r="U165" i="2"/>
  <c r="U166" i="2" s="1"/>
  <c r="U162" i="2"/>
  <c r="U163" i="2" s="1"/>
  <c r="U160" i="2"/>
  <c r="U158" i="2"/>
  <c r="U155" i="2"/>
  <c r="U156" i="2" s="1"/>
  <c r="U152" i="2"/>
  <c r="U153" i="2" s="1"/>
  <c r="U149" i="2"/>
  <c r="U150" i="2" s="1"/>
  <c r="U146" i="2"/>
  <c r="U147" i="2" s="1"/>
  <c r="U144" i="2"/>
  <c r="U141" i="2"/>
  <c r="U142" i="2" s="1"/>
  <c r="U138" i="2"/>
  <c r="U139" i="2" s="1"/>
  <c r="U136" i="2"/>
  <c r="U130" i="2"/>
  <c r="U131" i="2" s="1"/>
  <c r="U132" i="2" s="1"/>
  <c r="U133" i="2" s="1"/>
  <c r="U134" i="2" s="1"/>
  <c r="U124" i="2"/>
  <c r="U125" i="2" s="1"/>
  <c r="U126" i="2" s="1"/>
  <c r="U127" i="2" s="1"/>
  <c r="U128" i="2" s="1"/>
  <c r="U121" i="2"/>
  <c r="U122" i="2" s="1"/>
  <c r="U118" i="2"/>
  <c r="U119" i="2" s="1"/>
  <c r="U115" i="2"/>
  <c r="U116" i="2" s="1"/>
  <c r="U112" i="2"/>
  <c r="U113" i="2" s="1"/>
  <c r="U110" i="2"/>
  <c r="U107" i="2"/>
  <c r="U108" i="2" s="1"/>
  <c r="U105" i="2"/>
  <c r="U102" i="2"/>
  <c r="U103" i="2" s="1"/>
  <c r="U100" i="2"/>
  <c r="U98" i="2"/>
  <c r="U96" i="2"/>
  <c r="U94" i="2"/>
  <c r="U92" i="2"/>
  <c r="U90" i="2"/>
  <c r="U88" i="2"/>
  <c r="U85" i="2"/>
  <c r="U86" i="2" s="1"/>
  <c r="U82" i="2"/>
  <c r="U83" i="2" s="1"/>
  <c r="U79" i="2"/>
  <c r="U80" i="2" s="1"/>
  <c r="U76" i="2"/>
  <c r="U77" i="2" s="1"/>
  <c r="U74" i="2"/>
  <c r="U72" i="2"/>
  <c r="U69" i="2"/>
  <c r="U70" i="2" s="1"/>
  <c r="U66" i="2"/>
  <c r="U67" i="2" s="1"/>
  <c r="U64" i="2"/>
  <c r="U61" i="2"/>
  <c r="U62" i="2" s="1"/>
  <c r="U58" i="2"/>
  <c r="U59" i="2" s="1"/>
  <c r="U55" i="2"/>
  <c r="U56" i="2" s="1"/>
  <c r="U52" i="2"/>
  <c r="U53" i="2" s="1"/>
  <c r="U49" i="2"/>
  <c r="U50" i="2" s="1"/>
  <c r="U46" i="2"/>
  <c r="U47" i="2" s="1"/>
  <c r="U44" i="2"/>
  <c r="U41" i="2"/>
  <c r="U42" i="2" s="1"/>
  <c r="U39" i="2"/>
  <c r="U36" i="2"/>
  <c r="U37" i="2" s="1"/>
  <c r="U34" i="2"/>
  <c r="U32" i="2"/>
  <c r="U30" i="2"/>
  <c r="U27" i="2"/>
  <c r="U28" i="2" s="1"/>
  <c r="U25" i="2"/>
  <c r="U22" i="2"/>
  <c r="U23" i="2" s="1"/>
  <c r="U19" i="2"/>
  <c r="U20" i="2" s="1"/>
  <c r="U17" i="2"/>
  <c r="U15" i="2"/>
  <c r="U13" i="2"/>
  <c r="U11" i="2"/>
  <c r="U9" i="2"/>
  <c r="U7" i="2"/>
  <c r="U4" i="2"/>
  <c r="J839" i="2"/>
  <c r="I839" i="2"/>
  <c r="H839" i="2"/>
  <c r="G839" i="2"/>
  <c r="F839" i="2"/>
  <c r="E839" i="2"/>
  <c r="J836" i="2"/>
  <c r="J837" i="2" s="1"/>
  <c r="I836" i="2"/>
  <c r="I837" i="2" s="1"/>
  <c r="H836" i="2"/>
  <c r="H837" i="2" s="1"/>
  <c r="G836" i="2"/>
  <c r="G837" i="2" s="1"/>
  <c r="F836" i="2"/>
  <c r="F837" i="2" s="1"/>
  <c r="E836" i="2"/>
  <c r="E837" i="2" s="1"/>
  <c r="J834" i="2"/>
  <c r="I834" i="2"/>
  <c r="H834" i="2"/>
  <c r="G834" i="2"/>
  <c r="F834" i="2"/>
  <c r="E834" i="2"/>
  <c r="J832" i="2"/>
  <c r="I832" i="2"/>
  <c r="H832" i="2"/>
  <c r="G832" i="2"/>
  <c r="F832" i="2"/>
  <c r="E832" i="2"/>
  <c r="J830" i="2"/>
  <c r="I830" i="2"/>
  <c r="H830" i="2"/>
  <c r="G830" i="2"/>
  <c r="F830" i="2"/>
  <c r="E830" i="2"/>
  <c r="J828" i="2"/>
  <c r="I828" i="2"/>
  <c r="H828" i="2"/>
  <c r="G828" i="2"/>
  <c r="F828" i="2"/>
  <c r="E828" i="2"/>
  <c r="J825" i="2"/>
  <c r="J826" i="2" s="1"/>
  <c r="I825" i="2"/>
  <c r="I826" i="2" s="1"/>
  <c r="H825" i="2"/>
  <c r="H826" i="2" s="1"/>
  <c r="G825" i="2"/>
  <c r="G826" i="2" s="1"/>
  <c r="F825" i="2"/>
  <c r="F826" i="2" s="1"/>
  <c r="E825" i="2"/>
  <c r="E826" i="2" s="1"/>
  <c r="J823" i="2"/>
  <c r="I823" i="2"/>
  <c r="H823" i="2"/>
  <c r="G823" i="2"/>
  <c r="F823" i="2"/>
  <c r="E823" i="2"/>
  <c r="J821" i="2"/>
  <c r="I821" i="2"/>
  <c r="H821" i="2"/>
  <c r="G821" i="2"/>
  <c r="F821" i="2"/>
  <c r="E821" i="2"/>
  <c r="J818" i="2"/>
  <c r="J819" i="2" s="1"/>
  <c r="G818" i="2"/>
  <c r="G819" i="2" s="1"/>
  <c r="F818" i="2"/>
  <c r="F819" i="2" s="1"/>
  <c r="E818" i="2"/>
  <c r="E819" i="2" s="1"/>
  <c r="J816" i="2"/>
  <c r="I816" i="2"/>
  <c r="H816" i="2"/>
  <c r="G816" i="2"/>
  <c r="F816" i="2"/>
  <c r="E816" i="2"/>
  <c r="J814" i="2"/>
  <c r="I814" i="2"/>
  <c r="H814" i="2"/>
  <c r="G814" i="2"/>
  <c r="F814" i="2"/>
  <c r="E814" i="2"/>
  <c r="J812" i="2"/>
  <c r="I812" i="2"/>
  <c r="H812" i="2"/>
  <c r="G812" i="2"/>
  <c r="F812" i="2"/>
  <c r="E812" i="2"/>
  <c r="J809" i="2"/>
  <c r="J810" i="2" s="1"/>
  <c r="I809" i="2"/>
  <c r="I810" i="2" s="1"/>
  <c r="H809" i="2"/>
  <c r="H810" i="2" s="1"/>
  <c r="G809" i="2"/>
  <c r="G810" i="2" s="1"/>
  <c r="F809" i="2"/>
  <c r="F810" i="2" s="1"/>
  <c r="E809" i="2"/>
  <c r="E810" i="2" s="1"/>
  <c r="J807" i="2"/>
  <c r="I807" i="2"/>
  <c r="H807" i="2"/>
  <c r="G807" i="2"/>
  <c r="F807" i="2"/>
  <c r="E807" i="2"/>
  <c r="J805" i="2"/>
  <c r="I805" i="2"/>
  <c r="H805" i="2"/>
  <c r="G805" i="2"/>
  <c r="F805" i="2"/>
  <c r="E805" i="2"/>
  <c r="J803" i="2"/>
  <c r="I803" i="2"/>
  <c r="H803" i="2"/>
  <c r="G803" i="2"/>
  <c r="F803" i="2"/>
  <c r="E803" i="2"/>
  <c r="J801" i="2"/>
  <c r="I801" i="2"/>
  <c r="H801" i="2"/>
  <c r="G801" i="2"/>
  <c r="F801" i="2"/>
  <c r="E801" i="2"/>
  <c r="J799" i="2"/>
  <c r="I799" i="2"/>
  <c r="H799" i="2"/>
  <c r="G799" i="2"/>
  <c r="F799" i="2"/>
  <c r="E799" i="2"/>
  <c r="J797" i="2"/>
  <c r="I797" i="2"/>
  <c r="H797" i="2"/>
  <c r="G797" i="2"/>
  <c r="F797" i="2"/>
  <c r="E797" i="2"/>
  <c r="J795" i="2"/>
  <c r="I795" i="2"/>
  <c r="H795" i="2"/>
  <c r="G795" i="2"/>
  <c r="F795" i="2"/>
  <c r="E795" i="2"/>
  <c r="J793" i="2"/>
  <c r="I793" i="2"/>
  <c r="H793" i="2"/>
  <c r="G793" i="2"/>
  <c r="F793" i="2"/>
  <c r="E793" i="2"/>
  <c r="J791" i="2"/>
  <c r="I791" i="2"/>
  <c r="H791" i="2"/>
  <c r="G791" i="2"/>
  <c r="F791" i="2"/>
  <c r="E791" i="2"/>
  <c r="J789" i="2"/>
  <c r="I789" i="2"/>
  <c r="H789" i="2"/>
  <c r="G789" i="2"/>
  <c r="F789" i="2"/>
  <c r="E789" i="2"/>
  <c r="J787" i="2"/>
  <c r="I787" i="2"/>
  <c r="H787" i="2"/>
  <c r="G787" i="2"/>
  <c r="F787" i="2"/>
  <c r="E787" i="2"/>
  <c r="J784" i="2"/>
  <c r="J785" i="2" s="1"/>
  <c r="I784" i="2"/>
  <c r="I785" i="2" s="1"/>
  <c r="H784" i="2"/>
  <c r="H785" i="2" s="1"/>
  <c r="G784" i="2"/>
  <c r="G785" i="2" s="1"/>
  <c r="F784" i="2"/>
  <c r="F785" i="2" s="1"/>
  <c r="E784" i="2"/>
  <c r="E785" i="2" s="1"/>
  <c r="J782" i="2"/>
  <c r="I782" i="2"/>
  <c r="H782" i="2"/>
  <c r="G782" i="2"/>
  <c r="F782" i="2"/>
  <c r="E782" i="2"/>
  <c r="J779" i="2"/>
  <c r="J780" i="2" s="1"/>
  <c r="I779" i="2"/>
  <c r="I780" i="2" s="1"/>
  <c r="H779" i="2"/>
  <c r="H780" i="2" s="1"/>
  <c r="G779" i="2"/>
  <c r="G780" i="2" s="1"/>
  <c r="F779" i="2"/>
  <c r="F780" i="2" s="1"/>
  <c r="E779" i="2"/>
  <c r="E780" i="2" s="1"/>
  <c r="J777" i="2"/>
  <c r="I777" i="2"/>
  <c r="H777" i="2"/>
  <c r="G777" i="2"/>
  <c r="F777" i="2"/>
  <c r="E777" i="2"/>
  <c r="J775" i="2"/>
  <c r="I775" i="2"/>
  <c r="H775" i="2"/>
  <c r="G775" i="2"/>
  <c r="F775" i="2"/>
  <c r="E775" i="2"/>
  <c r="J773" i="2"/>
  <c r="I773" i="2"/>
  <c r="H773" i="2"/>
  <c r="G773" i="2"/>
  <c r="F773" i="2"/>
  <c r="E773" i="2"/>
  <c r="J771" i="2"/>
  <c r="I771" i="2"/>
  <c r="H771" i="2"/>
  <c r="G771" i="2"/>
  <c r="F771" i="2"/>
  <c r="E771" i="2"/>
  <c r="J769" i="2"/>
  <c r="I769" i="2"/>
  <c r="H769" i="2"/>
  <c r="G769" i="2"/>
  <c r="F769" i="2"/>
  <c r="E769" i="2"/>
  <c r="J766" i="2"/>
  <c r="J767" i="2" s="1"/>
  <c r="I766" i="2"/>
  <c r="I767" i="2" s="1"/>
  <c r="H766" i="2"/>
  <c r="H767" i="2" s="1"/>
  <c r="G766" i="2"/>
  <c r="G767" i="2" s="1"/>
  <c r="F766" i="2"/>
  <c r="F767" i="2" s="1"/>
  <c r="E766" i="2"/>
  <c r="E767" i="2" s="1"/>
  <c r="J763" i="2"/>
  <c r="J764" i="2" s="1"/>
  <c r="I763" i="2"/>
  <c r="I764" i="2" s="1"/>
  <c r="H763" i="2"/>
  <c r="H764" i="2" s="1"/>
  <c r="G763" i="2"/>
  <c r="G764" i="2" s="1"/>
  <c r="F763" i="2"/>
  <c r="F764" i="2" s="1"/>
  <c r="E763" i="2"/>
  <c r="E764" i="2" s="1"/>
  <c r="J761" i="2"/>
  <c r="I761" i="2"/>
  <c r="H761" i="2"/>
  <c r="G761" i="2"/>
  <c r="F761" i="2"/>
  <c r="E761" i="2"/>
  <c r="J759" i="2"/>
  <c r="I759" i="2"/>
  <c r="H759" i="2"/>
  <c r="G759" i="2"/>
  <c r="F759" i="2"/>
  <c r="E759" i="2"/>
  <c r="J756" i="2"/>
  <c r="J757" i="2" s="1"/>
  <c r="I756" i="2"/>
  <c r="I757" i="2" s="1"/>
  <c r="H756" i="2"/>
  <c r="H757" i="2" s="1"/>
  <c r="G756" i="2"/>
  <c r="G757" i="2" s="1"/>
  <c r="F756" i="2"/>
  <c r="F757" i="2" s="1"/>
  <c r="E756" i="2"/>
  <c r="E757" i="2" s="1"/>
  <c r="J754" i="2"/>
  <c r="I754" i="2"/>
  <c r="H754" i="2"/>
  <c r="G754" i="2"/>
  <c r="F754" i="2"/>
  <c r="E754" i="2"/>
  <c r="J752" i="2"/>
  <c r="I752" i="2"/>
  <c r="H752" i="2"/>
  <c r="G752" i="2"/>
  <c r="F752" i="2"/>
  <c r="E752" i="2"/>
  <c r="J749" i="2"/>
  <c r="J750" i="2" s="1"/>
  <c r="I749" i="2"/>
  <c r="I750" i="2" s="1"/>
  <c r="H749" i="2"/>
  <c r="H750" i="2" s="1"/>
  <c r="G749" i="2"/>
  <c r="G750" i="2" s="1"/>
  <c r="F749" i="2"/>
  <c r="F750" i="2" s="1"/>
  <c r="E749" i="2"/>
  <c r="E750" i="2" s="1"/>
  <c r="J746" i="2"/>
  <c r="J747" i="2" s="1"/>
  <c r="I746" i="2"/>
  <c r="I747" i="2" s="1"/>
  <c r="H746" i="2"/>
  <c r="H747" i="2" s="1"/>
  <c r="G746" i="2"/>
  <c r="G747" i="2" s="1"/>
  <c r="F746" i="2"/>
  <c r="F747" i="2" s="1"/>
  <c r="E746" i="2"/>
  <c r="E747" i="2" s="1"/>
  <c r="J743" i="2"/>
  <c r="J744" i="2" s="1"/>
  <c r="I743" i="2"/>
  <c r="I744" i="2" s="1"/>
  <c r="H743" i="2"/>
  <c r="H744" i="2" s="1"/>
  <c r="G743" i="2"/>
  <c r="G744" i="2" s="1"/>
  <c r="F743" i="2"/>
  <c r="F744" i="2" s="1"/>
  <c r="E743" i="2"/>
  <c r="E744" i="2" s="1"/>
  <c r="J740" i="2"/>
  <c r="J741" i="2" s="1"/>
  <c r="I740" i="2"/>
  <c r="I741" i="2" s="1"/>
  <c r="H740" i="2"/>
  <c r="H741" i="2" s="1"/>
  <c r="G740" i="2"/>
  <c r="G741" i="2" s="1"/>
  <c r="F740" i="2"/>
  <c r="F741" i="2" s="1"/>
  <c r="E740" i="2"/>
  <c r="E741" i="2" s="1"/>
  <c r="J738" i="2"/>
  <c r="I738" i="2"/>
  <c r="H738" i="2"/>
  <c r="G738" i="2"/>
  <c r="F738" i="2"/>
  <c r="E738" i="2"/>
  <c r="J736" i="2"/>
  <c r="I736" i="2"/>
  <c r="H736" i="2"/>
  <c r="G736" i="2"/>
  <c r="F736" i="2"/>
  <c r="E736" i="2"/>
  <c r="J734" i="2"/>
  <c r="I734" i="2"/>
  <c r="H734" i="2"/>
  <c r="G734" i="2"/>
  <c r="F734" i="2"/>
  <c r="E734" i="2"/>
  <c r="J732" i="2"/>
  <c r="I732" i="2"/>
  <c r="H732" i="2"/>
  <c r="G732" i="2"/>
  <c r="F732" i="2"/>
  <c r="E732" i="2"/>
  <c r="J730" i="2"/>
  <c r="I730" i="2"/>
  <c r="H730" i="2"/>
  <c r="G730" i="2"/>
  <c r="F730" i="2"/>
  <c r="E730" i="2"/>
  <c r="J728" i="2"/>
  <c r="I728" i="2"/>
  <c r="H728" i="2"/>
  <c r="G728" i="2"/>
  <c r="F728" i="2"/>
  <c r="E728" i="2"/>
  <c r="J726" i="2"/>
  <c r="I726" i="2"/>
  <c r="H726" i="2"/>
  <c r="G726" i="2"/>
  <c r="F726" i="2"/>
  <c r="E726" i="2"/>
  <c r="J724" i="2"/>
  <c r="I724" i="2"/>
  <c r="H724" i="2"/>
  <c r="G724" i="2"/>
  <c r="F724" i="2"/>
  <c r="E724" i="2"/>
  <c r="J722" i="2"/>
  <c r="I722" i="2"/>
  <c r="H722" i="2"/>
  <c r="G722" i="2"/>
  <c r="F722" i="2"/>
  <c r="E722" i="2"/>
  <c r="J719" i="2"/>
  <c r="J720" i="2" s="1"/>
  <c r="I719" i="2"/>
  <c r="I720" i="2" s="1"/>
  <c r="H719" i="2"/>
  <c r="H720" i="2" s="1"/>
  <c r="G719" i="2"/>
  <c r="G720" i="2" s="1"/>
  <c r="F719" i="2"/>
  <c r="F720" i="2" s="1"/>
  <c r="E719" i="2"/>
  <c r="E720" i="2" s="1"/>
  <c r="J716" i="2"/>
  <c r="J717" i="2" s="1"/>
  <c r="I716" i="2"/>
  <c r="I717" i="2" s="1"/>
  <c r="H716" i="2"/>
  <c r="H717" i="2" s="1"/>
  <c r="G716" i="2"/>
  <c r="G717" i="2" s="1"/>
  <c r="F716" i="2"/>
  <c r="F717" i="2" s="1"/>
  <c r="E716" i="2"/>
  <c r="E717" i="2" s="1"/>
  <c r="J714" i="2"/>
  <c r="I714" i="2"/>
  <c r="H714" i="2"/>
  <c r="G714" i="2"/>
  <c r="F714" i="2"/>
  <c r="E714" i="2"/>
  <c r="J712" i="2"/>
  <c r="I712" i="2"/>
  <c r="H712" i="2"/>
  <c r="G712" i="2"/>
  <c r="F712" i="2"/>
  <c r="E712" i="2"/>
  <c r="J710" i="2"/>
  <c r="I710" i="2"/>
  <c r="H710" i="2"/>
  <c r="G710" i="2"/>
  <c r="F710" i="2"/>
  <c r="E710" i="2"/>
  <c r="J708" i="2"/>
  <c r="I708" i="2"/>
  <c r="H708" i="2"/>
  <c r="G708" i="2"/>
  <c r="F708" i="2"/>
  <c r="E708" i="2"/>
  <c r="J706" i="2"/>
  <c r="I706" i="2"/>
  <c r="H706" i="2"/>
  <c r="G706" i="2"/>
  <c r="F706" i="2"/>
  <c r="E706" i="2"/>
  <c r="J704" i="2"/>
  <c r="I704" i="2"/>
  <c r="H704" i="2"/>
  <c r="G704" i="2"/>
  <c r="F704" i="2"/>
  <c r="E704" i="2"/>
  <c r="J702" i="2"/>
  <c r="I702" i="2"/>
  <c r="H702" i="2"/>
  <c r="G702" i="2"/>
  <c r="F702" i="2"/>
  <c r="E702" i="2"/>
  <c r="J700" i="2"/>
  <c r="I700" i="2"/>
  <c r="H700" i="2"/>
  <c r="G700" i="2"/>
  <c r="F700" i="2"/>
  <c r="E700" i="2"/>
  <c r="J698" i="2"/>
  <c r="I698" i="2"/>
  <c r="H698" i="2"/>
  <c r="G698" i="2"/>
  <c r="F698" i="2"/>
  <c r="E698" i="2"/>
  <c r="J696" i="2"/>
  <c r="I696" i="2"/>
  <c r="H696" i="2"/>
  <c r="G696" i="2"/>
  <c r="F696" i="2"/>
  <c r="E696" i="2"/>
  <c r="J694" i="2"/>
  <c r="I694" i="2"/>
  <c r="H694" i="2"/>
  <c r="G694" i="2"/>
  <c r="F694" i="2"/>
  <c r="E694" i="2"/>
  <c r="J691" i="2"/>
  <c r="J692" i="2" s="1"/>
  <c r="I691" i="2"/>
  <c r="I692" i="2" s="1"/>
  <c r="H691" i="2"/>
  <c r="H692" i="2" s="1"/>
  <c r="G691" i="2"/>
  <c r="G692" i="2" s="1"/>
  <c r="F691" i="2"/>
  <c r="F692" i="2" s="1"/>
  <c r="E691" i="2"/>
  <c r="E692" i="2" s="1"/>
  <c r="J689" i="2"/>
  <c r="I689" i="2"/>
  <c r="H689" i="2"/>
  <c r="G689" i="2"/>
  <c r="F689" i="2"/>
  <c r="E689" i="2"/>
  <c r="J686" i="2"/>
  <c r="J687" i="2" s="1"/>
  <c r="I686" i="2"/>
  <c r="I687" i="2" s="1"/>
  <c r="H686" i="2"/>
  <c r="H687" i="2" s="1"/>
  <c r="G686" i="2"/>
  <c r="G687" i="2" s="1"/>
  <c r="F686" i="2"/>
  <c r="F687" i="2" s="1"/>
  <c r="E686" i="2"/>
  <c r="E687" i="2" s="1"/>
  <c r="J683" i="2"/>
  <c r="J684" i="2" s="1"/>
  <c r="I683" i="2"/>
  <c r="I684" i="2" s="1"/>
  <c r="H683" i="2"/>
  <c r="H684" i="2" s="1"/>
  <c r="G683" i="2"/>
  <c r="G684" i="2" s="1"/>
  <c r="F683" i="2"/>
  <c r="F684" i="2" s="1"/>
  <c r="E683" i="2"/>
  <c r="E684" i="2" s="1"/>
  <c r="J680" i="2"/>
  <c r="J681" i="2" s="1"/>
  <c r="I680" i="2"/>
  <c r="I681" i="2" s="1"/>
  <c r="H680" i="2"/>
  <c r="H681" i="2" s="1"/>
  <c r="G680" i="2"/>
  <c r="G681" i="2" s="1"/>
  <c r="F680" i="2"/>
  <c r="F681" i="2" s="1"/>
  <c r="E680" i="2"/>
  <c r="E681" i="2" s="1"/>
  <c r="J678" i="2"/>
  <c r="I678" i="2"/>
  <c r="H678" i="2"/>
  <c r="G678" i="2"/>
  <c r="F678" i="2"/>
  <c r="E678" i="2"/>
  <c r="J676" i="2"/>
  <c r="I676" i="2"/>
  <c r="H676" i="2"/>
  <c r="G676" i="2"/>
  <c r="F676" i="2"/>
  <c r="E676" i="2"/>
  <c r="J674" i="2"/>
  <c r="I674" i="2"/>
  <c r="H674" i="2"/>
  <c r="G674" i="2"/>
  <c r="F674" i="2"/>
  <c r="E674" i="2"/>
  <c r="J671" i="2"/>
  <c r="J672" i="2" s="1"/>
  <c r="I671" i="2"/>
  <c r="I672" i="2" s="1"/>
  <c r="H671" i="2"/>
  <c r="H672" i="2" s="1"/>
  <c r="G671" i="2"/>
  <c r="G672" i="2" s="1"/>
  <c r="F671" i="2"/>
  <c r="F672" i="2" s="1"/>
  <c r="E671" i="2"/>
  <c r="E672" i="2" s="1"/>
  <c r="J668" i="2"/>
  <c r="J669" i="2" s="1"/>
  <c r="I668" i="2"/>
  <c r="I669" i="2" s="1"/>
  <c r="H668" i="2"/>
  <c r="H669" i="2" s="1"/>
  <c r="G668" i="2"/>
  <c r="G669" i="2" s="1"/>
  <c r="F668" i="2"/>
  <c r="F669" i="2" s="1"/>
  <c r="E668" i="2"/>
  <c r="E669" i="2" s="1"/>
  <c r="J665" i="2"/>
  <c r="J666" i="2" s="1"/>
  <c r="I665" i="2"/>
  <c r="I666" i="2" s="1"/>
  <c r="H665" i="2"/>
  <c r="H666" i="2" s="1"/>
  <c r="G665" i="2"/>
  <c r="G666" i="2" s="1"/>
  <c r="F665" i="2"/>
  <c r="F666" i="2" s="1"/>
  <c r="E665" i="2"/>
  <c r="E666" i="2" s="1"/>
  <c r="J662" i="2"/>
  <c r="J663" i="2" s="1"/>
  <c r="I662" i="2"/>
  <c r="I663" i="2" s="1"/>
  <c r="H662" i="2"/>
  <c r="H663" i="2" s="1"/>
  <c r="G662" i="2"/>
  <c r="G663" i="2" s="1"/>
  <c r="F662" i="2"/>
  <c r="F663" i="2" s="1"/>
  <c r="E662" i="2"/>
  <c r="E663" i="2" s="1"/>
  <c r="J659" i="2"/>
  <c r="J660" i="2" s="1"/>
  <c r="I659" i="2"/>
  <c r="I660" i="2" s="1"/>
  <c r="H659" i="2"/>
  <c r="H660" i="2" s="1"/>
  <c r="G659" i="2"/>
  <c r="G660" i="2" s="1"/>
  <c r="F659" i="2"/>
  <c r="F660" i="2" s="1"/>
  <c r="E659" i="2"/>
  <c r="E660" i="2" s="1"/>
  <c r="J646" i="2"/>
  <c r="I646" i="2"/>
  <c r="H646" i="2"/>
  <c r="G646" i="2"/>
  <c r="F646" i="2"/>
  <c r="E646" i="2"/>
  <c r="J644" i="2"/>
  <c r="I644" i="2"/>
  <c r="H644" i="2"/>
  <c r="G644" i="2"/>
  <c r="F644" i="2"/>
  <c r="E644" i="2"/>
  <c r="J642" i="2"/>
  <c r="I642" i="2"/>
  <c r="H642" i="2"/>
  <c r="G642" i="2"/>
  <c r="F642" i="2"/>
  <c r="E642" i="2"/>
  <c r="J469" i="2"/>
  <c r="I469" i="2"/>
  <c r="H469" i="2"/>
  <c r="G469" i="2"/>
  <c r="F469" i="2"/>
  <c r="E469" i="2"/>
  <c r="J465" i="2"/>
  <c r="J466" i="2" s="1"/>
  <c r="J467" i="2" s="1"/>
  <c r="I465" i="2"/>
  <c r="I466" i="2" s="1"/>
  <c r="I467" i="2" s="1"/>
  <c r="H465" i="2"/>
  <c r="H466" i="2" s="1"/>
  <c r="H467" i="2" s="1"/>
  <c r="G465" i="2"/>
  <c r="G466" i="2" s="1"/>
  <c r="G467" i="2" s="1"/>
  <c r="F465" i="2"/>
  <c r="F466" i="2" s="1"/>
  <c r="F467" i="2" s="1"/>
  <c r="E465" i="2"/>
  <c r="E466" i="2" s="1"/>
  <c r="E467" i="2" s="1"/>
  <c r="J463" i="2"/>
  <c r="I463" i="2"/>
  <c r="H463" i="2"/>
  <c r="G463" i="2"/>
  <c r="F463" i="2"/>
  <c r="E463" i="2"/>
  <c r="J461" i="2"/>
  <c r="I461" i="2"/>
  <c r="H461" i="2"/>
  <c r="G461" i="2"/>
  <c r="F461" i="2"/>
  <c r="E461" i="2"/>
  <c r="J458" i="2"/>
  <c r="J459" i="2" s="1"/>
  <c r="I458" i="2"/>
  <c r="I459" i="2" s="1"/>
  <c r="H458" i="2"/>
  <c r="H459" i="2" s="1"/>
  <c r="G458" i="2"/>
  <c r="G459" i="2" s="1"/>
  <c r="F458" i="2"/>
  <c r="F459" i="2" s="1"/>
  <c r="E458" i="2"/>
  <c r="E459" i="2" s="1"/>
  <c r="J456" i="2"/>
  <c r="I456" i="2"/>
  <c r="H456" i="2"/>
  <c r="G456" i="2"/>
  <c r="F456" i="2"/>
  <c r="E456" i="2"/>
  <c r="J454" i="2"/>
  <c r="I454" i="2"/>
  <c r="H454" i="2"/>
  <c r="G454" i="2"/>
  <c r="F454" i="2"/>
  <c r="E454" i="2"/>
  <c r="J452" i="2"/>
  <c r="I452" i="2"/>
  <c r="H452" i="2"/>
  <c r="G452" i="2"/>
  <c r="F452" i="2"/>
  <c r="E452" i="2"/>
  <c r="J450" i="2"/>
  <c r="I450" i="2"/>
  <c r="H450" i="2"/>
  <c r="G450" i="2"/>
  <c r="F450" i="2"/>
  <c r="E450" i="2"/>
  <c r="J448" i="2"/>
  <c r="I448" i="2"/>
  <c r="H448" i="2"/>
  <c r="G448" i="2"/>
  <c r="F448" i="2"/>
  <c r="E448" i="2"/>
  <c r="J446" i="2"/>
  <c r="I446" i="2"/>
  <c r="H446" i="2"/>
  <c r="G446" i="2"/>
  <c r="F446" i="2"/>
  <c r="E446" i="2"/>
  <c r="J444" i="2"/>
  <c r="I444" i="2"/>
  <c r="H444" i="2"/>
  <c r="G444" i="2"/>
  <c r="F444" i="2"/>
  <c r="E444" i="2"/>
  <c r="J442" i="2"/>
  <c r="I442" i="2"/>
  <c r="H442" i="2"/>
  <c r="G442" i="2"/>
  <c r="F442" i="2"/>
  <c r="E442" i="2"/>
  <c r="J440" i="2"/>
  <c r="I440" i="2"/>
  <c r="H440" i="2"/>
  <c r="G440" i="2"/>
  <c r="F440" i="2"/>
  <c r="E440" i="2"/>
  <c r="J438" i="2"/>
  <c r="I438" i="2"/>
  <c r="H438" i="2"/>
  <c r="G438" i="2"/>
  <c r="F438" i="2"/>
  <c r="E438" i="2"/>
  <c r="J436" i="2"/>
  <c r="I436" i="2"/>
  <c r="H436" i="2"/>
  <c r="G436" i="2"/>
  <c r="F436" i="2"/>
  <c r="E436" i="2"/>
  <c r="J434" i="2"/>
  <c r="I434" i="2"/>
  <c r="H434" i="2"/>
  <c r="G434" i="2"/>
  <c r="F434" i="2"/>
  <c r="E434" i="2"/>
  <c r="J432" i="2"/>
  <c r="I432" i="2"/>
  <c r="H432" i="2"/>
  <c r="G432" i="2"/>
  <c r="F432" i="2"/>
  <c r="E432" i="2"/>
  <c r="J429" i="2"/>
  <c r="J430" i="2" s="1"/>
  <c r="I429" i="2"/>
  <c r="I430" i="2" s="1"/>
  <c r="H429" i="2"/>
  <c r="H430" i="2" s="1"/>
  <c r="G429" i="2"/>
  <c r="G430" i="2" s="1"/>
  <c r="F429" i="2"/>
  <c r="F430" i="2" s="1"/>
  <c r="E429" i="2"/>
  <c r="E430" i="2" s="1"/>
  <c r="J427" i="2"/>
  <c r="I427" i="2"/>
  <c r="H427" i="2"/>
  <c r="G427" i="2"/>
  <c r="F427" i="2"/>
  <c r="E427" i="2"/>
  <c r="J425" i="2"/>
  <c r="I425" i="2"/>
  <c r="H425" i="2"/>
  <c r="G425" i="2"/>
  <c r="F425" i="2"/>
  <c r="E425" i="2"/>
  <c r="J423" i="2"/>
  <c r="I423" i="2"/>
  <c r="H423" i="2"/>
  <c r="G423" i="2"/>
  <c r="F423" i="2"/>
  <c r="E423" i="2"/>
  <c r="J421" i="2"/>
  <c r="I421" i="2"/>
  <c r="H421" i="2"/>
  <c r="G421" i="2"/>
  <c r="F421" i="2"/>
  <c r="E421" i="2"/>
  <c r="J419" i="2"/>
  <c r="I419" i="2"/>
  <c r="H419" i="2"/>
  <c r="G419" i="2"/>
  <c r="F419" i="2"/>
  <c r="E419" i="2"/>
  <c r="J417" i="2"/>
  <c r="I417" i="2"/>
  <c r="H417" i="2"/>
  <c r="G417" i="2"/>
  <c r="F417" i="2"/>
  <c r="E417" i="2"/>
  <c r="J415" i="2"/>
  <c r="I415" i="2"/>
  <c r="H415" i="2"/>
  <c r="G415" i="2"/>
  <c r="F415" i="2"/>
  <c r="E415" i="2"/>
  <c r="J413" i="2"/>
  <c r="I413" i="2"/>
  <c r="H413" i="2"/>
  <c r="G413" i="2"/>
  <c r="F413" i="2"/>
  <c r="E413" i="2"/>
  <c r="J411" i="2"/>
  <c r="I411" i="2"/>
  <c r="H411" i="2"/>
  <c r="G411" i="2"/>
  <c r="F411" i="2"/>
  <c r="E411" i="2"/>
  <c r="J408" i="2"/>
  <c r="J409" i="2" s="1"/>
  <c r="I408" i="2"/>
  <c r="I409" i="2" s="1"/>
  <c r="H408" i="2"/>
  <c r="H409" i="2" s="1"/>
  <c r="G408" i="2"/>
  <c r="G409" i="2" s="1"/>
  <c r="F408" i="2"/>
  <c r="F409" i="2" s="1"/>
  <c r="E408" i="2"/>
  <c r="E409" i="2" s="1"/>
  <c r="J406" i="2"/>
  <c r="I406" i="2"/>
  <c r="H406" i="2"/>
  <c r="G406" i="2"/>
  <c r="F406" i="2"/>
  <c r="E406" i="2"/>
  <c r="J404" i="2"/>
  <c r="I404" i="2"/>
  <c r="H404" i="2"/>
  <c r="G404" i="2"/>
  <c r="F404" i="2"/>
  <c r="E404" i="2"/>
  <c r="J402" i="2"/>
  <c r="I402" i="2"/>
  <c r="H402" i="2"/>
  <c r="G402" i="2"/>
  <c r="F402" i="2"/>
  <c r="E402" i="2"/>
  <c r="J400" i="2"/>
  <c r="I400" i="2"/>
  <c r="H400" i="2"/>
  <c r="G400" i="2"/>
  <c r="F400" i="2"/>
  <c r="E400" i="2"/>
  <c r="J398" i="2"/>
  <c r="I398" i="2"/>
  <c r="H398" i="2"/>
  <c r="G398" i="2"/>
  <c r="F398" i="2"/>
  <c r="E398" i="2"/>
  <c r="J396" i="2"/>
  <c r="I396" i="2"/>
  <c r="H396" i="2"/>
  <c r="G396" i="2"/>
  <c r="F396" i="2"/>
  <c r="E396" i="2"/>
  <c r="J394" i="2"/>
  <c r="I394" i="2"/>
  <c r="H394" i="2"/>
  <c r="G394" i="2"/>
  <c r="F394" i="2"/>
  <c r="E394" i="2"/>
  <c r="J392" i="2"/>
  <c r="I392" i="2"/>
  <c r="H392" i="2"/>
  <c r="G392" i="2"/>
  <c r="F392" i="2"/>
  <c r="E392" i="2"/>
  <c r="J390" i="2"/>
  <c r="I390" i="2"/>
  <c r="H390" i="2"/>
  <c r="G390" i="2"/>
  <c r="F390" i="2"/>
  <c r="E390" i="2"/>
  <c r="J387" i="2"/>
  <c r="I387" i="2"/>
  <c r="I388" i="2" s="1"/>
  <c r="H387" i="2"/>
  <c r="H388" i="2" s="1"/>
  <c r="G387" i="2"/>
  <c r="G388" i="2" s="1"/>
  <c r="F387" i="2"/>
  <c r="F388" i="2" s="1"/>
  <c r="E387" i="2"/>
  <c r="E388" i="2" s="1"/>
  <c r="J385" i="2"/>
  <c r="I385" i="2"/>
  <c r="H385" i="2"/>
  <c r="G385" i="2"/>
  <c r="F385" i="2"/>
  <c r="E385" i="2"/>
  <c r="J383" i="2"/>
  <c r="I383" i="2"/>
  <c r="H383" i="2"/>
  <c r="G383" i="2"/>
  <c r="F383" i="2"/>
  <c r="E383" i="2"/>
  <c r="J381" i="2"/>
  <c r="I381" i="2"/>
  <c r="H381" i="2"/>
  <c r="G381" i="2"/>
  <c r="F381" i="2"/>
  <c r="E381" i="2"/>
  <c r="J379" i="2"/>
  <c r="I379" i="2"/>
  <c r="H379" i="2"/>
  <c r="G379" i="2"/>
  <c r="F379" i="2"/>
  <c r="E379" i="2"/>
  <c r="J377" i="2"/>
  <c r="I377" i="2"/>
  <c r="H377" i="2"/>
  <c r="G377" i="2"/>
  <c r="F377" i="2"/>
  <c r="E377" i="2"/>
  <c r="J375" i="2"/>
  <c r="I375" i="2"/>
  <c r="H375" i="2"/>
  <c r="G375" i="2"/>
  <c r="F375" i="2"/>
  <c r="E375" i="2"/>
  <c r="J373" i="2"/>
  <c r="I373" i="2"/>
  <c r="H373" i="2"/>
  <c r="G373" i="2"/>
  <c r="F373" i="2"/>
  <c r="E373" i="2"/>
  <c r="J371" i="2"/>
  <c r="I371" i="2"/>
  <c r="H371" i="2"/>
  <c r="G371" i="2"/>
  <c r="F371" i="2"/>
  <c r="E371" i="2"/>
  <c r="J369" i="2"/>
  <c r="I369" i="2"/>
  <c r="H369" i="2"/>
  <c r="G369" i="2"/>
  <c r="F369" i="2"/>
  <c r="E369" i="2"/>
  <c r="J367" i="2"/>
  <c r="I367" i="2"/>
  <c r="H367" i="2"/>
  <c r="G367" i="2"/>
  <c r="F367" i="2"/>
  <c r="E367" i="2"/>
  <c r="J365" i="2"/>
  <c r="I365" i="2"/>
  <c r="H365" i="2"/>
  <c r="G365" i="2"/>
  <c r="F365" i="2"/>
  <c r="E365" i="2"/>
  <c r="J363" i="2"/>
  <c r="I363" i="2"/>
  <c r="H363" i="2"/>
  <c r="G363" i="2"/>
  <c r="F363" i="2"/>
  <c r="E363" i="2"/>
  <c r="J361" i="2"/>
  <c r="I361" i="2"/>
  <c r="H361" i="2"/>
  <c r="G361" i="2"/>
  <c r="F361" i="2"/>
  <c r="E361" i="2"/>
  <c r="J359" i="2"/>
  <c r="I359" i="2"/>
  <c r="H359" i="2"/>
  <c r="G359" i="2"/>
  <c r="F359" i="2"/>
  <c r="E359" i="2"/>
  <c r="J357" i="2"/>
  <c r="I357" i="2"/>
  <c r="H357" i="2"/>
  <c r="G357" i="2"/>
  <c r="F357" i="2"/>
  <c r="E357" i="2"/>
  <c r="J354" i="2"/>
  <c r="J355" i="2" s="1"/>
  <c r="I354" i="2"/>
  <c r="I355" i="2" s="1"/>
  <c r="H354" i="2"/>
  <c r="H355" i="2" s="1"/>
  <c r="G354" i="2"/>
  <c r="G355" i="2" s="1"/>
  <c r="F354" i="2"/>
  <c r="F355" i="2" s="1"/>
  <c r="E354" i="2"/>
  <c r="E355" i="2" s="1"/>
  <c r="J352" i="2"/>
  <c r="I352" i="2"/>
  <c r="H352" i="2"/>
  <c r="G352" i="2"/>
  <c r="F352" i="2"/>
  <c r="E352" i="2"/>
  <c r="J350" i="2"/>
  <c r="I350" i="2"/>
  <c r="H350" i="2"/>
  <c r="G350" i="2"/>
  <c r="F350" i="2"/>
  <c r="E350" i="2"/>
  <c r="J348" i="2"/>
  <c r="I348" i="2"/>
  <c r="H348" i="2"/>
  <c r="G348" i="2"/>
  <c r="F348" i="2"/>
  <c r="E348" i="2"/>
  <c r="J346" i="2"/>
  <c r="I346" i="2"/>
  <c r="H346" i="2"/>
  <c r="G346" i="2"/>
  <c r="F346" i="2"/>
  <c r="E346" i="2"/>
  <c r="J343" i="2"/>
  <c r="J344" i="2" s="1"/>
  <c r="I343" i="2"/>
  <c r="I344" i="2" s="1"/>
  <c r="H343" i="2"/>
  <c r="H344" i="2" s="1"/>
  <c r="G343" i="2"/>
  <c r="G344" i="2" s="1"/>
  <c r="F343" i="2"/>
  <c r="F344" i="2" s="1"/>
  <c r="E343" i="2"/>
  <c r="E344" i="2" s="1"/>
  <c r="J340" i="2"/>
  <c r="J341" i="2" s="1"/>
  <c r="I340" i="2"/>
  <c r="I341" i="2" s="1"/>
  <c r="H340" i="2"/>
  <c r="H341" i="2" s="1"/>
  <c r="G340" i="2"/>
  <c r="G341" i="2" s="1"/>
  <c r="F340" i="2"/>
  <c r="F341" i="2" s="1"/>
  <c r="E340" i="2"/>
  <c r="E341" i="2" s="1"/>
  <c r="J336" i="2"/>
  <c r="J337" i="2" s="1"/>
  <c r="J338" i="2" s="1"/>
  <c r="I336" i="2"/>
  <c r="I337" i="2" s="1"/>
  <c r="I338" i="2" s="1"/>
  <c r="H336" i="2"/>
  <c r="H337" i="2" s="1"/>
  <c r="H338" i="2" s="1"/>
  <c r="G336" i="2"/>
  <c r="G337" i="2" s="1"/>
  <c r="G338" i="2" s="1"/>
  <c r="F336" i="2"/>
  <c r="F337" i="2" s="1"/>
  <c r="F338" i="2" s="1"/>
  <c r="E336" i="2"/>
  <c r="E337" i="2" s="1"/>
  <c r="E338" i="2" s="1"/>
  <c r="J334" i="2"/>
  <c r="I334" i="2"/>
  <c r="H334" i="2"/>
  <c r="G334" i="2"/>
  <c r="F334" i="2"/>
  <c r="E334" i="2"/>
  <c r="J332" i="2"/>
  <c r="I332" i="2"/>
  <c r="H332" i="2"/>
  <c r="G332" i="2"/>
  <c r="F332" i="2"/>
  <c r="E332" i="2"/>
  <c r="J330" i="2"/>
  <c r="I330" i="2"/>
  <c r="H330" i="2"/>
  <c r="G330" i="2"/>
  <c r="F330" i="2"/>
  <c r="E330" i="2"/>
  <c r="J328" i="2"/>
  <c r="I328" i="2"/>
  <c r="H328" i="2"/>
  <c r="G328" i="2"/>
  <c r="F328" i="2"/>
  <c r="E328" i="2"/>
  <c r="J326" i="2"/>
  <c r="I326" i="2"/>
  <c r="H326" i="2"/>
  <c r="G326" i="2"/>
  <c r="F326" i="2"/>
  <c r="E326" i="2"/>
  <c r="J324" i="2"/>
  <c r="I324" i="2"/>
  <c r="H324" i="2"/>
  <c r="G324" i="2"/>
  <c r="F324" i="2"/>
  <c r="E324" i="2"/>
  <c r="J322" i="2"/>
  <c r="I322" i="2"/>
  <c r="H322" i="2"/>
  <c r="G322" i="2"/>
  <c r="F322" i="2"/>
  <c r="E322" i="2"/>
  <c r="J319" i="2"/>
  <c r="J320" i="2" s="1"/>
  <c r="I319" i="2"/>
  <c r="I320" i="2" s="1"/>
  <c r="H319" i="2"/>
  <c r="H320" i="2" s="1"/>
  <c r="G319" i="2"/>
  <c r="G320" i="2" s="1"/>
  <c r="F319" i="2"/>
  <c r="F320" i="2" s="1"/>
  <c r="E319" i="2"/>
  <c r="E320" i="2" s="1"/>
  <c r="J317" i="2"/>
  <c r="I317" i="2"/>
  <c r="H317" i="2"/>
  <c r="G317" i="2"/>
  <c r="F317" i="2"/>
  <c r="E317" i="2"/>
  <c r="J315" i="2"/>
  <c r="I315" i="2"/>
  <c r="H315" i="2"/>
  <c r="G315" i="2"/>
  <c r="F315" i="2"/>
  <c r="E315" i="2"/>
  <c r="J313" i="2"/>
  <c r="I313" i="2"/>
  <c r="H313" i="2"/>
  <c r="G313" i="2"/>
  <c r="F313" i="2"/>
  <c r="E313" i="2"/>
  <c r="J311" i="2"/>
  <c r="I311" i="2"/>
  <c r="H311" i="2"/>
  <c r="G311" i="2"/>
  <c r="F311" i="2"/>
  <c r="E311" i="2"/>
  <c r="J309" i="2"/>
  <c r="I309" i="2"/>
  <c r="H309" i="2"/>
  <c r="G309" i="2"/>
  <c r="F309" i="2"/>
  <c r="E309" i="2"/>
  <c r="J307" i="2"/>
  <c r="I307" i="2"/>
  <c r="H307" i="2"/>
  <c r="G307" i="2"/>
  <c r="F307" i="2"/>
  <c r="E307" i="2"/>
  <c r="J305" i="2"/>
  <c r="I305" i="2"/>
  <c r="H305" i="2"/>
  <c r="G305" i="2"/>
  <c r="F305" i="2"/>
  <c r="E305" i="2"/>
  <c r="J303" i="2"/>
  <c r="I303" i="2"/>
  <c r="H303" i="2"/>
  <c r="G303" i="2"/>
  <c r="F303" i="2"/>
  <c r="E303" i="2"/>
  <c r="J301" i="2"/>
  <c r="I301" i="2"/>
  <c r="H301" i="2"/>
  <c r="G301" i="2"/>
  <c r="F301" i="2"/>
  <c r="E301" i="2"/>
  <c r="J299" i="2"/>
  <c r="I299" i="2"/>
  <c r="H299" i="2"/>
  <c r="G299" i="2"/>
  <c r="F299" i="2"/>
  <c r="E299" i="2"/>
  <c r="J297" i="2"/>
  <c r="I297" i="2"/>
  <c r="H297" i="2"/>
  <c r="G297" i="2"/>
  <c r="F297" i="2"/>
  <c r="E297" i="2"/>
  <c r="J295" i="2"/>
  <c r="I295" i="2"/>
  <c r="H295" i="2"/>
  <c r="G295" i="2"/>
  <c r="F295" i="2"/>
  <c r="E295" i="2"/>
  <c r="J293" i="2"/>
  <c r="I293" i="2"/>
  <c r="H293" i="2"/>
  <c r="G293" i="2"/>
  <c r="F293" i="2"/>
  <c r="E293" i="2"/>
  <c r="J291" i="2"/>
  <c r="I291" i="2"/>
  <c r="H291" i="2"/>
  <c r="G291" i="2"/>
  <c r="F291" i="2"/>
  <c r="E291" i="2"/>
  <c r="J289" i="2"/>
  <c r="I289" i="2"/>
  <c r="H289" i="2"/>
  <c r="G289" i="2"/>
  <c r="F289" i="2"/>
  <c r="E289" i="2"/>
  <c r="J287" i="2"/>
  <c r="I287" i="2"/>
  <c r="H287" i="2"/>
  <c r="G287" i="2"/>
  <c r="F287" i="2"/>
  <c r="E287" i="2"/>
  <c r="J285" i="2"/>
  <c r="I285" i="2"/>
  <c r="H285" i="2"/>
  <c r="G285" i="2"/>
  <c r="F285" i="2"/>
  <c r="E285" i="2"/>
  <c r="J281" i="2"/>
  <c r="J282" i="2" s="1"/>
  <c r="J283" i="2" s="1"/>
  <c r="I281" i="2"/>
  <c r="I282" i="2" s="1"/>
  <c r="I283" i="2" s="1"/>
  <c r="H281" i="2"/>
  <c r="H282" i="2" s="1"/>
  <c r="H283" i="2" s="1"/>
  <c r="G281" i="2"/>
  <c r="G282" i="2" s="1"/>
  <c r="G283" i="2" s="1"/>
  <c r="F281" i="2"/>
  <c r="F282" i="2" s="1"/>
  <c r="F283" i="2" s="1"/>
  <c r="E281" i="2"/>
  <c r="E282" i="2" s="1"/>
  <c r="E283" i="2" s="1"/>
  <c r="J277" i="2"/>
  <c r="J278" i="2" s="1"/>
  <c r="J279" i="2" s="1"/>
  <c r="I277" i="2"/>
  <c r="I278" i="2" s="1"/>
  <c r="I279" i="2" s="1"/>
  <c r="H277" i="2"/>
  <c r="H278" i="2" s="1"/>
  <c r="H279" i="2" s="1"/>
  <c r="G277" i="2"/>
  <c r="G278" i="2" s="1"/>
  <c r="G279" i="2" s="1"/>
  <c r="F277" i="2"/>
  <c r="F278" i="2" s="1"/>
  <c r="F279" i="2" s="1"/>
  <c r="E277" i="2"/>
  <c r="E278" i="2" s="1"/>
  <c r="E279" i="2" s="1"/>
  <c r="J275" i="2"/>
  <c r="I275" i="2"/>
  <c r="H275" i="2"/>
  <c r="G275" i="2"/>
  <c r="F275" i="2"/>
  <c r="E275" i="2"/>
  <c r="J272" i="2"/>
  <c r="J273" i="2" s="1"/>
  <c r="I272" i="2"/>
  <c r="I273" i="2" s="1"/>
  <c r="H272" i="2"/>
  <c r="H273" i="2" s="1"/>
  <c r="G272" i="2"/>
  <c r="G273" i="2" s="1"/>
  <c r="F272" i="2"/>
  <c r="F273" i="2" s="1"/>
  <c r="E272" i="2"/>
  <c r="E273" i="2" s="1"/>
  <c r="J270" i="2"/>
  <c r="I270" i="2"/>
  <c r="H270" i="2"/>
  <c r="G270" i="2"/>
  <c r="F270" i="2"/>
  <c r="E270" i="2"/>
  <c r="J268" i="2"/>
  <c r="I268" i="2"/>
  <c r="H268" i="2"/>
  <c r="G268" i="2"/>
  <c r="F268" i="2"/>
  <c r="E268" i="2"/>
  <c r="J266" i="2"/>
  <c r="I266" i="2"/>
  <c r="H266" i="2"/>
  <c r="G266" i="2"/>
  <c r="F266" i="2"/>
  <c r="E266" i="2"/>
  <c r="J264" i="2"/>
  <c r="I264" i="2"/>
  <c r="H264" i="2"/>
  <c r="G264" i="2"/>
  <c r="F264" i="2"/>
  <c r="E264" i="2"/>
  <c r="J262" i="2"/>
  <c r="I262" i="2"/>
  <c r="H262" i="2"/>
  <c r="G262" i="2"/>
  <c r="F262" i="2"/>
  <c r="E262" i="2"/>
  <c r="J259" i="2"/>
  <c r="J260" i="2" s="1"/>
  <c r="I259" i="2"/>
  <c r="I260" i="2" s="1"/>
  <c r="H259" i="2"/>
  <c r="H260" i="2" s="1"/>
  <c r="G259" i="2"/>
  <c r="G260" i="2" s="1"/>
  <c r="F259" i="2"/>
  <c r="F260" i="2" s="1"/>
  <c r="E259" i="2"/>
  <c r="E260" i="2" s="1"/>
  <c r="J256" i="2"/>
  <c r="J257" i="2" s="1"/>
  <c r="I256" i="2"/>
  <c r="I257" i="2" s="1"/>
  <c r="H256" i="2"/>
  <c r="H257" i="2" s="1"/>
  <c r="G256" i="2"/>
  <c r="G257" i="2" s="1"/>
  <c r="F256" i="2"/>
  <c r="F257" i="2" s="1"/>
  <c r="E256" i="2"/>
  <c r="E257" i="2" s="1"/>
  <c r="J252" i="2"/>
  <c r="J253" i="2" s="1"/>
  <c r="J254" i="2" s="1"/>
  <c r="I252" i="2"/>
  <c r="I253" i="2" s="1"/>
  <c r="I254" i="2" s="1"/>
  <c r="H252" i="2"/>
  <c r="H253" i="2" s="1"/>
  <c r="H254" i="2" s="1"/>
  <c r="G252" i="2"/>
  <c r="G253" i="2" s="1"/>
  <c r="G254" i="2" s="1"/>
  <c r="F252" i="2"/>
  <c r="F253" i="2" s="1"/>
  <c r="F254" i="2" s="1"/>
  <c r="E252" i="2"/>
  <c r="E253" i="2" s="1"/>
  <c r="E254" i="2" s="1"/>
  <c r="J248" i="2"/>
  <c r="J249" i="2" s="1"/>
  <c r="J250" i="2" s="1"/>
  <c r="I248" i="2"/>
  <c r="I249" i="2" s="1"/>
  <c r="I250" i="2" s="1"/>
  <c r="H248" i="2"/>
  <c r="H249" i="2" s="1"/>
  <c r="H250" i="2" s="1"/>
  <c r="G248" i="2"/>
  <c r="G249" i="2" s="1"/>
  <c r="G250" i="2" s="1"/>
  <c r="F248" i="2"/>
  <c r="F249" i="2" s="1"/>
  <c r="F250" i="2" s="1"/>
  <c r="E248" i="2"/>
  <c r="E249" i="2" s="1"/>
  <c r="E250" i="2" s="1"/>
  <c r="J246" i="2"/>
  <c r="I246" i="2"/>
  <c r="H246" i="2"/>
  <c r="G246" i="2"/>
  <c r="F246" i="2"/>
  <c r="E246" i="2"/>
  <c r="J244" i="2"/>
  <c r="I244" i="2"/>
  <c r="H244" i="2"/>
  <c r="G244" i="2"/>
  <c r="F244" i="2"/>
  <c r="E244" i="2"/>
  <c r="J242" i="2"/>
  <c r="I242" i="2"/>
  <c r="H242" i="2"/>
  <c r="G242" i="2"/>
  <c r="F242" i="2"/>
  <c r="E242" i="2"/>
  <c r="J240" i="2"/>
  <c r="I240" i="2"/>
  <c r="H240" i="2"/>
  <c r="G240" i="2"/>
  <c r="F240" i="2"/>
  <c r="E240" i="2"/>
  <c r="J236" i="2"/>
  <c r="J237" i="2" s="1"/>
  <c r="J238" i="2" s="1"/>
  <c r="I236" i="2"/>
  <c r="I237" i="2" s="1"/>
  <c r="I238" i="2" s="1"/>
  <c r="H236" i="2"/>
  <c r="H237" i="2" s="1"/>
  <c r="H238" i="2" s="1"/>
  <c r="G236" i="2"/>
  <c r="G237" i="2" s="1"/>
  <c r="G238" i="2" s="1"/>
  <c r="F236" i="2"/>
  <c r="F237" i="2" s="1"/>
  <c r="F238" i="2" s="1"/>
  <c r="E236" i="2"/>
  <c r="E237" i="2" s="1"/>
  <c r="E238" i="2" s="1"/>
  <c r="J234" i="2"/>
  <c r="H234" i="2"/>
  <c r="G234" i="2"/>
  <c r="F234" i="2"/>
  <c r="E234" i="2"/>
  <c r="J231" i="2"/>
  <c r="J232" i="2" s="1"/>
  <c r="I231" i="2"/>
  <c r="I232" i="2" s="1"/>
  <c r="G231" i="2"/>
  <c r="G232" i="2" s="1"/>
  <c r="F231" i="2"/>
  <c r="F232" i="2" s="1"/>
  <c r="E231" i="2"/>
  <c r="E232" i="2" s="1"/>
  <c r="J229" i="2"/>
  <c r="I229" i="2"/>
  <c r="H229" i="2"/>
  <c r="G229" i="2"/>
  <c r="F229" i="2"/>
  <c r="E229" i="2"/>
  <c r="J226" i="2"/>
  <c r="J227" i="2" s="1"/>
  <c r="I226" i="2"/>
  <c r="I227" i="2" s="1"/>
  <c r="H226" i="2"/>
  <c r="H227" i="2" s="1"/>
  <c r="G226" i="2"/>
  <c r="G227" i="2" s="1"/>
  <c r="F226" i="2"/>
  <c r="F227" i="2" s="1"/>
  <c r="E226" i="2"/>
  <c r="E227" i="2" s="1"/>
  <c r="J222" i="2"/>
  <c r="J223" i="2" s="1"/>
  <c r="J224" i="2" s="1"/>
  <c r="I222" i="2"/>
  <c r="I223" i="2" s="1"/>
  <c r="I224" i="2" s="1"/>
  <c r="H222" i="2"/>
  <c r="G222" i="2"/>
  <c r="G223" i="2" s="1"/>
  <c r="G224" i="2" s="1"/>
  <c r="F222" i="2"/>
  <c r="F223" i="2" s="1"/>
  <c r="F224" i="2" s="1"/>
  <c r="E222" i="2"/>
  <c r="E223" i="2" s="1"/>
  <c r="E224" i="2" s="1"/>
  <c r="J220" i="2"/>
  <c r="I220" i="2"/>
  <c r="H220" i="2"/>
  <c r="G220" i="2"/>
  <c r="F220" i="2"/>
  <c r="E220" i="2"/>
  <c r="J218" i="2"/>
  <c r="I218" i="2"/>
  <c r="H218" i="2"/>
  <c r="G218" i="2"/>
  <c r="F218" i="2"/>
  <c r="E218" i="2"/>
  <c r="J215" i="2"/>
  <c r="J216" i="2" s="1"/>
  <c r="I215" i="2"/>
  <c r="I216" i="2" s="1"/>
  <c r="H215" i="2"/>
  <c r="H216" i="2" s="1"/>
  <c r="G215" i="2"/>
  <c r="G216" i="2" s="1"/>
  <c r="F215" i="2"/>
  <c r="F216" i="2" s="1"/>
  <c r="E215" i="2"/>
  <c r="E216" i="2" s="1"/>
  <c r="J213" i="2"/>
  <c r="I213" i="2"/>
  <c r="H213" i="2"/>
  <c r="G213" i="2"/>
  <c r="F213" i="2"/>
  <c r="E213" i="2"/>
  <c r="J210" i="2"/>
  <c r="J211" i="2" s="1"/>
  <c r="I210" i="2"/>
  <c r="I211" i="2" s="1"/>
  <c r="H210" i="2"/>
  <c r="H211" i="2" s="1"/>
  <c r="G210" i="2"/>
  <c r="G211" i="2" s="1"/>
  <c r="F210" i="2"/>
  <c r="F211" i="2" s="1"/>
  <c r="E210" i="2"/>
  <c r="E211" i="2" s="1"/>
  <c r="J208" i="2"/>
  <c r="I208" i="2"/>
  <c r="H208" i="2"/>
  <c r="G208" i="2"/>
  <c r="F208" i="2"/>
  <c r="E208" i="2"/>
  <c r="J205" i="2"/>
  <c r="J206" i="2" s="1"/>
  <c r="I205" i="2"/>
  <c r="I206" i="2" s="1"/>
  <c r="H205" i="2"/>
  <c r="H206" i="2" s="1"/>
  <c r="G205" i="2"/>
  <c r="G206" i="2" s="1"/>
  <c r="F205" i="2"/>
  <c r="F206" i="2" s="1"/>
  <c r="E205" i="2"/>
  <c r="E206" i="2" s="1"/>
  <c r="J203" i="2"/>
  <c r="I203" i="2"/>
  <c r="H203" i="2"/>
  <c r="G203" i="2"/>
  <c r="F203" i="2"/>
  <c r="E203" i="2"/>
  <c r="J201" i="2"/>
  <c r="I201" i="2"/>
  <c r="H201" i="2"/>
  <c r="G201" i="2"/>
  <c r="F201" i="2"/>
  <c r="E201" i="2"/>
  <c r="J198" i="2"/>
  <c r="J199" i="2" s="1"/>
  <c r="I198" i="2"/>
  <c r="I199" i="2" s="1"/>
  <c r="H198" i="2"/>
  <c r="H199" i="2" s="1"/>
  <c r="G198" i="2"/>
  <c r="G199" i="2" s="1"/>
  <c r="F198" i="2"/>
  <c r="F199" i="2" s="1"/>
  <c r="E198" i="2"/>
  <c r="E199" i="2" s="1"/>
  <c r="J196" i="2"/>
  <c r="I196" i="2"/>
  <c r="H196" i="2"/>
  <c r="G196" i="2"/>
  <c r="F196" i="2"/>
  <c r="E196" i="2"/>
  <c r="J194" i="2"/>
  <c r="I194" i="2"/>
  <c r="H194" i="2"/>
  <c r="G194" i="2"/>
  <c r="F194" i="2"/>
  <c r="E194" i="2"/>
  <c r="J191" i="2"/>
  <c r="J192" i="2" s="1"/>
  <c r="I191" i="2"/>
  <c r="I192" i="2" s="1"/>
  <c r="H191" i="2"/>
  <c r="H192" i="2" s="1"/>
  <c r="G191" i="2"/>
  <c r="G192" i="2" s="1"/>
  <c r="F191" i="2"/>
  <c r="F192" i="2" s="1"/>
  <c r="E191" i="2"/>
  <c r="E192" i="2" s="1"/>
  <c r="J188" i="2"/>
  <c r="J189" i="2" s="1"/>
  <c r="I188" i="2"/>
  <c r="I189" i="2" s="1"/>
  <c r="H188" i="2"/>
  <c r="H189" i="2" s="1"/>
  <c r="G188" i="2"/>
  <c r="G189" i="2" s="1"/>
  <c r="F188" i="2"/>
  <c r="F189" i="2" s="1"/>
  <c r="E188" i="2"/>
  <c r="E189" i="2" s="1"/>
  <c r="J185" i="2"/>
  <c r="J186" i="2" s="1"/>
  <c r="I185" i="2"/>
  <c r="I186" i="2" s="1"/>
  <c r="H185" i="2"/>
  <c r="H186" i="2" s="1"/>
  <c r="G185" i="2"/>
  <c r="G186" i="2" s="1"/>
  <c r="F185" i="2"/>
  <c r="F186" i="2" s="1"/>
  <c r="E185" i="2"/>
  <c r="E186" i="2" s="1"/>
  <c r="J183" i="2"/>
  <c r="I183" i="2"/>
  <c r="H183" i="2"/>
  <c r="G183" i="2"/>
  <c r="F183" i="2"/>
  <c r="E183" i="2"/>
  <c r="J181" i="2"/>
  <c r="I181" i="2"/>
  <c r="H181" i="2"/>
  <c r="G181" i="2"/>
  <c r="F181" i="2"/>
  <c r="E181" i="2"/>
  <c r="J179" i="2"/>
  <c r="I179" i="2"/>
  <c r="H179" i="2"/>
  <c r="G179" i="2"/>
  <c r="F179" i="2"/>
  <c r="E179" i="2"/>
  <c r="J176" i="2"/>
  <c r="J177" i="2" s="1"/>
  <c r="I176" i="2"/>
  <c r="I177" i="2" s="1"/>
  <c r="H176" i="2"/>
  <c r="H177" i="2" s="1"/>
  <c r="G176" i="2"/>
  <c r="G177" i="2" s="1"/>
  <c r="F176" i="2"/>
  <c r="F177" i="2" s="1"/>
  <c r="E176" i="2"/>
  <c r="E177" i="2" s="1"/>
  <c r="J174" i="2"/>
  <c r="I174" i="2"/>
  <c r="H174" i="2"/>
  <c r="G174" i="2"/>
  <c r="F174" i="2"/>
  <c r="E174" i="2"/>
  <c r="J171" i="2"/>
  <c r="J172" i="2" s="1"/>
  <c r="I171" i="2"/>
  <c r="I172" i="2" s="1"/>
  <c r="H171" i="2"/>
  <c r="H172" i="2" s="1"/>
  <c r="G171" i="2"/>
  <c r="G172" i="2" s="1"/>
  <c r="F171" i="2"/>
  <c r="F172" i="2" s="1"/>
  <c r="E171" i="2"/>
  <c r="E172" i="2" s="1"/>
  <c r="J168" i="2"/>
  <c r="J169" i="2" s="1"/>
  <c r="I168" i="2"/>
  <c r="I169" i="2" s="1"/>
  <c r="H168" i="2"/>
  <c r="H169" i="2" s="1"/>
  <c r="G168" i="2"/>
  <c r="G169" i="2" s="1"/>
  <c r="F168" i="2"/>
  <c r="F169" i="2" s="1"/>
  <c r="E168" i="2"/>
  <c r="E169" i="2" s="1"/>
  <c r="J165" i="2"/>
  <c r="J166" i="2" s="1"/>
  <c r="I165" i="2"/>
  <c r="I166" i="2" s="1"/>
  <c r="H165" i="2"/>
  <c r="H166" i="2" s="1"/>
  <c r="G165" i="2"/>
  <c r="G166" i="2" s="1"/>
  <c r="F165" i="2"/>
  <c r="F166" i="2" s="1"/>
  <c r="E165" i="2"/>
  <c r="E166" i="2" s="1"/>
  <c r="J162" i="2"/>
  <c r="J163" i="2" s="1"/>
  <c r="I162" i="2"/>
  <c r="I163" i="2" s="1"/>
  <c r="H162" i="2"/>
  <c r="H163" i="2" s="1"/>
  <c r="G162" i="2"/>
  <c r="G163" i="2" s="1"/>
  <c r="F162" i="2"/>
  <c r="F163" i="2" s="1"/>
  <c r="E162" i="2"/>
  <c r="E163" i="2" s="1"/>
  <c r="J160" i="2"/>
  <c r="I160" i="2"/>
  <c r="H160" i="2"/>
  <c r="G160" i="2"/>
  <c r="F160" i="2"/>
  <c r="E160" i="2"/>
  <c r="J158" i="2"/>
  <c r="I158" i="2"/>
  <c r="H158" i="2"/>
  <c r="G158" i="2"/>
  <c r="F158" i="2"/>
  <c r="E158" i="2"/>
  <c r="J155" i="2"/>
  <c r="J156" i="2" s="1"/>
  <c r="I155" i="2"/>
  <c r="I156" i="2" s="1"/>
  <c r="H155" i="2"/>
  <c r="H156" i="2" s="1"/>
  <c r="G155" i="2"/>
  <c r="G156" i="2" s="1"/>
  <c r="F155" i="2"/>
  <c r="F156" i="2" s="1"/>
  <c r="E155" i="2"/>
  <c r="E156" i="2" s="1"/>
  <c r="J152" i="2"/>
  <c r="J153" i="2" s="1"/>
  <c r="I152" i="2"/>
  <c r="I153" i="2" s="1"/>
  <c r="H152" i="2"/>
  <c r="H153" i="2" s="1"/>
  <c r="G152" i="2"/>
  <c r="G153" i="2" s="1"/>
  <c r="F152" i="2"/>
  <c r="F153" i="2" s="1"/>
  <c r="E152" i="2"/>
  <c r="E153" i="2" s="1"/>
  <c r="J149" i="2"/>
  <c r="J150" i="2" s="1"/>
  <c r="I149" i="2"/>
  <c r="I150" i="2" s="1"/>
  <c r="H149" i="2"/>
  <c r="H150" i="2" s="1"/>
  <c r="G149" i="2"/>
  <c r="G150" i="2" s="1"/>
  <c r="F149" i="2"/>
  <c r="F150" i="2" s="1"/>
  <c r="E149" i="2"/>
  <c r="E150" i="2" s="1"/>
  <c r="J146" i="2"/>
  <c r="J147" i="2" s="1"/>
  <c r="I146" i="2"/>
  <c r="I147" i="2" s="1"/>
  <c r="H146" i="2"/>
  <c r="H147" i="2" s="1"/>
  <c r="G146" i="2"/>
  <c r="G147" i="2" s="1"/>
  <c r="F146" i="2"/>
  <c r="F147" i="2" s="1"/>
  <c r="E146" i="2"/>
  <c r="E147" i="2" s="1"/>
  <c r="J144" i="2"/>
  <c r="I144" i="2"/>
  <c r="H144" i="2"/>
  <c r="G144" i="2"/>
  <c r="F144" i="2"/>
  <c r="E144" i="2"/>
  <c r="J141" i="2"/>
  <c r="J142" i="2" s="1"/>
  <c r="I141" i="2"/>
  <c r="I142" i="2" s="1"/>
  <c r="H141" i="2"/>
  <c r="H142" i="2" s="1"/>
  <c r="G141" i="2"/>
  <c r="G142" i="2" s="1"/>
  <c r="F141" i="2"/>
  <c r="F142" i="2" s="1"/>
  <c r="E141" i="2"/>
  <c r="E142" i="2" s="1"/>
  <c r="J138" i="2"/>
  <c r="J139" i="2" s="1"/>
  <c r="I138" i="2"/>
  <c r="I139" i="2" s="1"/>
  <c r="H138" i="2"/>
  <c r="H139" i="2" s="1"/>
  <c r="G138" i="2"/>
  <c r="G139" i="2" s="1"/>
  <c r="F138" i="2"/>
  <c r="F139" i="2" s="1"/>
  <c r="E138" i="2"/>
  <c r="E139" i="2" s="1"/>
  <c r="J136" i="2"/>
  <c r="I136" i="2"/>
  <c r="H136" i="2"/>
  <c r="G136" i="2"/>
  <c r="F136" i="2"/>
  <c r="E136" i="2"/>
  <c r="J130" i="2"/>
  <c r="J131" i="2" s="1"/>
  <c r="J132" i="2" s="1"/>
  <c r="J133" i="2" s="1"/>
  <c r="J134" i="2" s="1"/>
  <c r="I130" i="2"/>
  <c r="I131" i="2" s="1"/>
  <c r="I132" i="2" s="1"/>
  <c r="I133" i="2" s="1"/>
  <c r="I134" i="2" s="1"/>
  <c r="H130" i="2"/>
  <c r="H131" i="2" s="1"/>
  <c r="H132" i="2" s="1"/>
  <c r="H133" i="2" s="1"/>
  <c r="H134" i="2" s="1"/>
  <c r="G130" i="2"/>
  <c r="G131" i="2" s="1"/>
  <c r="G132" i="2" s="1"/>
  <c r="G133" i="2" s="1"/>
  <c r="G134" i="2" s="1"/>
  <c r="F130" i="2"/>
  <c r="F131" i="2" s="1"/>
  <c r="F132" i="2" s="1"/>
  <c r="F133" i="2" s="1"/>
  <c r="F134" i="2" s="1"/>
  <c r="E130" i="2"/>
  <c r="E131" i="2" s="1"/>
  <c r="E132" i="2" s="1"/>
  <c r="E133" i="2" s="1"/>
  <c r="E134" i="2" s="1"/>
  <c r="J124" i="2"/>
  <c r="J125" i="2" s="1"/>
  <c r="J126" i="2" s="1"/>
  <c r="J127" i="2" s="1"/>
  <c r="J128" i="2" s="1"/>
  <c r="I124" i="2"/>
  <c r="I125" i="2" s="1"/>
  <c r="I126" i="2" s="1"/>
  <c r="I127" i="2" s="1"/>
  <c r="I128" i="2" s="1"/>
  <c r="H124" i="2"/>
  <c r="H125" i="2" s="1"/>
  <c r="H126" i="2" s="1"/>
  <c r="H127" i="2" s="1"/>
  <c r="H128" i="2" s="1"/>
  <c r="G124" i="2"/>
  <c r="G125" i="2" s="1"/>
  <c r="G126" i="2" s="1"/>
  <c r="G127" i="2" s="1"/>
  <c r="G128" i="2" s="1"/>
  <c r="F124" i="2"/>
  <c r="F125" i="2" s="1"/>
  <c r="F126" i="2" s="1"/>
  <c r="F127" i="2" s="1"/>
  <c r="F128" i="2" s="1"/>
  <c r="E124" i="2"/>
  <c r="E125" i="2" s="1"/>
  <c r="E126" i="2" s="1"/>
  <c r="E127" i="2" s="1"/>
  <c r="E128" i="2" s="1"/>
  <c r="J121" i="2"/>
  <c r="J122" i="2" s="1"/>
  <c r="I121" i="2"/>
  <c r="I122" i="2" s="1"/>
  <c r="H121" i="2"/>
  <c r="H122" i="2" s="1"/>
  <c r="G121" i="2"/>
  <c r="G122" i="2" s="1"/>
  <c r="F121" i="2"/>
  <c r="F122" i="2" s="1"/>
  <c r="E121" i="2"/>
  <c r="E122" i="2" s="1"/>
  <c r="J118" i="2"/>
  <c r="J119" i="2" s="1"/>
  <c r="I118" i="2"/>
  <c r="I119" i="2" s="1"/>
  <c r="H118" i="2"/>
  <c r="H119" i="2" s="1"/>
  <c r="G118" i="2"/>
  <c r="G119" i="2" s="1"/>
  <c r="F118" i="2"/>
  <c r="F119" i="2" s="1"/>
  <c r="E118" i="2"/>
  <c r="E119" i="2" s="1"/>
  <c r="J115" i="2"/>
  <c r="J116" i="2" s="1"/>
  <c r="I115" i="2"/>
  <c r="I116" i="2" s="1"/>
  <c r="H115" i="2"/>
  <c r="H116" i="2" s="1"/>
  <c r="G115" i="2"/>
  <c r="G116" i="2" s="1"/>
  <c r="F115" i="2"/>
  <c r="F116" i="2" s="1"/>
  <c r="E115" i="2"/>
  <c r="E116" i="2" s="1"/>
  <c r="J112" i="2"/>
  <c r="J113" i="2" s="1"/>
  <c r="I112" i="2"/>
  <c r="I113" i="2" s="1"/>
  <c r="H112" i="2"/>
  <c r="H113" i="2" s="1"/>
  <c r="G112" i="2"/>
  <c r="G113" i="2" s="1"/>
  <c r="F112" i="2"/>
  <c r="F113" i="2" s="1"/>
  <c r="E112" i="2"/>
  <c r="E113" i="2" s="1"/>
  <c r="J110" i="2"/>
  <c r="I110" i="2"/>
  <c r="H110" i="2"/>
  <c r="G110" i="2"/>
  <c r="F110" i="2"/>
  <c r="E110" i="2"/>
  <c r="J107" i="2"/>
  <c r="J108" i="2" s="1"/>
  <c r="I107" i="2"/>
  <c r="I108" i="2" s="1"/>
  <c r="H107" i="2"/>
  <c r="H108" i="2" s="1"/>
  <c r="G107" i="2"/>
  <c r="G108" i="2" s="1"/>
  <c r="F107" i="2"/>
  <c r="F108" i="2" s="1"/>
  <c r="E107" i="2"/>
  <c r="E108" i="2" s="1"/>
  <c r="J105" i="2"/>
  <c r="I105" i="2"/>
  <c r="H105" i="2"/>
  <c r="G105" i="2"/>
  <c r="F105" i="2"/>
  <c r="E105" i="2"/>
  <c r="J102" i="2"/>
  <c r="J103" i="2" s="1"/>
  <c r="I102" i="2"/>
  <c r="I103" i="2" s="1"/>
  <c r="H102" i="2"/>
  <c r="H103" i="2" s="1"/>
  <c r="G102" i="2"/>
  <c r="G103" i="2" s="1"/>
  <c r="F102" i="2"/>
  <c r="F103" i="2" s="1"/>
  <c r="E102" i="2"/>
  <c r="E103" i="2" s="1"/>
  <c r="J100" i="2"/>
  <c r="I100" i="2"/>
  <c r="H100" i="2"/>
  <c r="G100" i="2"/>
  <c r="F100" i="2"/>
  <c r="E100" i="2"/>
  <c r="J98" i="2"/>
  <c r="I98" i="2"/>
  <c r="H98" i="2"/>
  <c r="G98" i="2"/>
  <c r="F98" i="2"/>
  <c r="E98" i="2"/>
  <c r="J96" i="2"/>
  <c r="I96" i="2"/>
  <c r="H96" i="2"/>
  <c r="G96" i="2"/>
  <c r="F96" i="2"/>
  <c r="E96" i="2"/>
  <c r="J94" i="2"/>
  <c r="I94" i="2"/>
  <c r="H94" i="2"/>
  <c r="G94" i="2"/>
  <c r="F94" i="2"/>
  <c r="E94" i="2"/>
  <c r="J92" i="2"/>
  <c r="I92" i="2"/>
  <c r="H92" i="2"/>
  <c r="G92" i="2"/>
  <c r="F92" i="2"/>
  <c r="E92" i="2"/>
  <c r="J90" i="2"/>
  <c r="I90" i="2"/>
  <c r="H90" i="2"/>
  <c r="G90" i="2"/>
  <c r="F90" i="2"/>
  <c r="E90" i="2"/>
  <c r="J88" i="2"/>
  <c r="I88" i="2"/>
  <c r="H88" i="2"/>
  <c r="G88" i="2"/>
  <c r="F88" i="2"/>
  <c r="E88" i="2"/>
  <c r="J85" i="2"/>
  <c r="J86" i="2" s="1"/>
  <c r="I85" i="2"/>
  <c r="I86" i="2" s="1"/>
  <c r="H85" i="2"/>
  <c r="H86" i="2" s="1"/>
  <c r="G85" i="2"/>
  <c r="G86" i="2" s="1"/>
  <c r="F85" i="2"/>
  <c r="F86" i="2" s="1"/>
  <c r="E85" i="2"/>
  <c r="E86" i="2" s="1"/>
  <c r="J82" i="2"/>
  <c r="J83" i="2" s="1"/>
  <c r="I82" i="2"/>
  <c r="I83" i="2" s="1"/>
  <c r="H82" i="2"/>
  <c r="H83" i="2" s="1"/>
  <c r="G82" i="2"/>
  <c r="G83" i="2" s="1"/>
  <c r="F82" i="2"/>
  <c r="F83" i="2" s="1"/>
  <c r="E82" i="2"/>
  <c r="E83" i="2" s="1"/>
  <c r="J79" i="2"/>
  <c r="J80" i="2" s="1"/>
  <c r="I79" i="2"/>
  <c r="I80" i="2" s="1"/>
  <c r="H79" i="2"/>
  <c r="H80" i="2" s="1"/>
  <c r="G79" i="2"/>
  <c r="G80" i="2" s="1"/>
  <c r="F79" i="2"/>
  <c r="F80" i="2" s="1"/>
  <c r="E79" i="2"/>
  <c r="E80" i="2" s="1"/>
  <c r="J76" i="2"/>
  <c r="J77" i="2" s="1"/>
  <c r="I76" i="2"/>
  <c r="I77" i="2" s="1"/>
  <c r="H76" i="2"/>
  <c r="H77" i="2" s="1"/>
  <c r="G76" i="2"/>
  <c r="G77" i="2" s="1"/>
  <c r="F76" i="2"/>
  <c r="F77" i="2" s="1"/>
  <c r="E76" i="2"/>
  <c r="E77" i="2" s="1"/>
  <c r="J74" i="2"/>
  <c r="I74" i="2"/>
  <c r="H74" i="2"/>
  <c r="G74" i="2"/>
  <c r="F74" i="2"/>
  <c r="E74" i="2"/>
  <c r="J72" i="2"/>
  <c r="I72" i="2"/>
  <c r="H72" i="2"/>
  <c r="G72" i="2"/>
  <c r="F72" i="2"/>
  <c r="E72" i="2"/>
  <c r="J69" i="2"/>
  <c r="J70" i="2" s="1"/>
  <c r="I69" i="2"/>
  <c r="I70" i="2" s="1"/>
  <c r="H69" i="2"/>
  <c r="H70" i="2" s="1"/>
  <c r="G69" i="2"/>
  <c r="G70" i="2" s="1"/>
  <c r="F69" i="2"/>
  <c r="F70" i="2" s="1"/>
  <c r="E69" i="2"/>
  <c r="E70" i="2" s="1"/>
  <c r="J66" i="2"/>
  <c r="J67" i="2" s="1"/>
  <c r="I66" i="2"/>
  <c r="I67" i="2" s="1"/>
  <c r="H66" i="2"/>
  <c r="H67" i="2" s="1"/>
  <c r="G66" i="2"/>
  <c r="G67" i="2" s="1"/>
  <c r="F66" i="2"/>
  <c r="F67" i="2" s="1"/>
  <c r="E66" i="2"/>
  <c r="E67" i="2" s="1"/>
  <c r="J64" i="2"/>
  <c r="I64" i="2"/>
  <c r="H64" i="2"/>
  <c r="G64" i="2"/>
  <c r="F64" i="2"/>
  <c r="E64" i="2"/>
  <c r="J61" i="2"/>
  <c r="J62" i="2" s="1"/>
  <c r="I61" i="2"/>
  <c r="I62" i="2" s="1"/>
  <c r="H61" i="2"/>
  <c r="H62" i="2" s="1"/>
  <c r="G61" i="2"/>
  <c r="G62" i="2" s="1"/>
  <c r="F61" i="2"/>
  <c r="F62" i="2" s="1"/>
  <c r="E61" i="2"/>
  <c r="E62" i="2" s="1"/>
  <c r="J58" i="2"/>
  <c r="J59" i="2" s="1"/>
  <c r="I58" i="2"/>
  <c r="I59" i="2" s="1"/>
  <c r="H58" i="2"/>
  <c r="H59" i="2" s="1"/>
  <c r="G58" i="2"/>
  <c r="G59" i="2" s="1"/>
  <c r="F58" i="2"/>
  <c r="F59" i="2" s="1"/>
  <c r="E58" i="2"/>
  <c r="E59" i="2" s="1"/>
  <c r="J55" i="2"/>
  <c r="J56" i="2" s="1"/>
  <c r="I55" i="2"/>
  <c r="I56" i="2" s="1"/>
  <c r="H55" i="2"/>
  <c r="H56" i="2" s="1"/>
  <c r="G55" i="2"/>
  <c r="G56" i="2" s="1"/>
  <c r="F55" i="2"/>
  <c r="F56" i="2" s="1"/>
  <c r="E55" i="2"/>
  <c r="E56" i="2" s="1"/>
  <c r="J52" i="2"/>
  <c r="J53" i="2" s="1"/>
  <c r="I52" i="2"/>
  <c r="I53" i="2" s="1"/>
  <c r="H52" i="2"/>
  <c r="H53" i="2" s="1"/>
  <c r="G52" i="2"/>
  <c r="G53" i="2" s="1"/>
  <c r="F52" i="2"/>
  <c r="F53" i="2" s="1"/>
  <c r="E52" i="2"/>
  <c r="E53" i="2" s="1"/>
  <c r="J49" i="2"/>
  <c r="J50" i="2" s="1"/>
  <c r="I49" i="2"/>
  <c r="I50" i="2" s="1"/>
  <c r="H49" i="2"/>
  <c r="H50" i="2" s="1"/>
  <c r="G49" i="2"/>
  <c r="G50" i="2" s="1"/>
  <c r="F49" i="2"/>
  <c r="F50" i="2" s="1"/>
  <c r="E49" i="2"/>
  <c r="E50" i="2" s="1"/>
  <c r="J46" i="2"/>
  <c r="J47" i="2" s="1"/>
  <c r="I46" i="2"/>
  <c r="I47" i="2" s="1"/>
  <c r="H46" i="2"/>
  <c r="H47" i="2" s="1"/>
  <c r="G46" i="2"/>
  <c r="G47" i="2" s="1"/>
  <c r="F46" i="2"/>
  <c r="F47" i="2" s="1"/>
  <c r="E46" i="2"/>
  <c r="E47" i="2" s="1"/>
  <c r="J44" i="2"/>
  <c r="I44" i="2"/>
  <c r="H44" i="2"/>
  <c r="G44" i="2"/>
  <c r="F44" i="2"/>
  <c r="E44" i="2"/>
  <c r="J41" i="2"/>
  <c r="J42" i="2" s="1"/>
  <c r="I41" i="2"/>
  <c r="I42" i="2" s="1"/>
  <c r="H41" i="2"/>
  <c r="H42" i="2" s="1"/>
  <c r="G41" i="2"/>
  <c r="G42" i="2" s="1"/>
  <c r="F41" i="2"/>
  <c r="F42" i="2" s="1"/>
  <c r="E41" i="2"/>
  <c r="E42" i="2" s="1"/>
  <c r="J39" i="2"/>
  <c r="I39" i="2"/>
  <c r="H39" i="2"/>
  <c r="G39" i="2"/>
  <c r="F39" i="2"/>
  <c r="E39" i="2"/>
  <c r="J36" i="2"/>
  <c r="J37" i="2" s="1"/>
  <c r="I36" i="2"/>
  <c r="I37" i="2" s="1"/>
  <c r="H36" i="2"/>
  <c r="H37" i="2" s="1"/>
  <c r="G36" i="2"/>
  <c r="G37" i="2" s="1"/>
  <c r="F36" i="2"/>
  <c r="F37" i="2" s="1"/>
  <c r="E36" i="2"/>
  <c r="E37" i="2" s="1"/>
  <c r="J34" i="2"/>
  <c r="I34" i="2"/>
  <c r="H34" i="2"/>
  <c r="G34" i="2"/>
  <c r="F34" i="2"/>
  <c r="E34" i="2"/>
  <c r="J32" i="2"/>
  <c r="I32" i="2"/>
  <c r="H32" i="2"/>
  <c r="G32" i="2"/>
  <c r="F32" i="2"/>
  <c r="E32" i="2"/>
  <c r="J30" i="2"/>
  <c r="I30" i="2"/>
  <c r="H30" i="2"/>
  <c r="G30" i="2"/>
  <c r="F30" i="2"/>
  <c r="E30" i="2"/>
  <c r="J27" i="2"/>
  <c r="J28" i="2" s="1"/>
  <c r="I27" i="2"/>
  <c r="I28" i="2" s="1"/>
  <c r="H27" i="2"/>
  <c r="H28" i="2" s="1"/>
  <c r="G27" i="2"/>
  <c r="G28" i="2" s="1"/>
  <c r="F27" i="2"/>
  <c r="F28" i="2" s="1"/>
  <c r="E27" i="2"/>
  <c r="E28" i="2" s="1"/>
  <c r="J25" i="2"/>
  <c r="I25" i="2"/>
  <c r="H25" i="2"/>
  <c r="G25" i="2"/>
  <c r="F25" i="2"/>
  <c r="E25" i="2"/>
  <c r="J22" i="2"/>
  <c r="J23" i="2" s="1"/>
  <c r="I22" i="2"/>
  <c r="I23" i="2" s="1"/>
  <c r="H22" i="2"/>
  <c r="H23" i="2" s="1"/>
  <c r="G22" i="2"/>
  <c r="G23" i="2" s="1"/>
  <c r="F22" i="2"/>
  <c r="F23" i="2" s="1"/>
  <c r="E22" i="2"/>
  <c r="E23" i="2" s="1"/>
  <c r="J19" i="2"/>
  <c r="J20" i="2" s="1"/>
  <c r="I19" i="2"/>
  <c r="I20" i="2" s="1"/>
  <c r="H19" i="2"/>
  <c r="H20" i="2" s="1"/>
  <c r="G19" i="2"/>
  <c r="G20" i="2" s="1"/>
  <c r="F19" i="2"/>
  <c r="F20" i="2" s="1"/>
  <c r="E19" i="2"/>
  <c r="E20" i="2" s="1"/>
  <c r="J17" i="2"/>
  <c r="I17" i="2"/>
  <c r="H17" i="2"/>
  <c r="G17" i="2"/>
  <c r="F17" i="2"/>
  <c r="E17" i="2"/>
  <c r="J15" i="2"/>
  <c r="I15" i="2"/>
  <c r="H15" i="2"/>
  <c r="G15" i="2"/>
  <c r="F15" i="2"/>
  <c r="E15" i="2"/>
  <c r="J13" i="2"/>
  <c r="I13" i="2"/>
  <c r="H13" i="2"/>
  <c r="G13" i="2"/>
  <c r="F13" i="2"/>
  <c r="E13" i="2"/>
  <c r="J11" i="2"/>
  <c r="I11" i="2"/>
  <c r="H11" i="2"/>
  <c r="G11" i="2"/>
  <c r="F11" i="2"/>
  <c r="E11" i="2"/>
  <c r="J9" i="2"/>
  <c r="I9" i="2"/>
  <c r="H9" i="2"/>
  <c r="G9" i="2"/>
  <c r="F9" i="2"/>
  <c r="E9" i="2"/>
  <c r="J7" i="2"/>
  <c r="I7" i="2"/>
  <c r="H7" i="2"/>
  <c r="G7" i="2"/>
  <c r="F7" i="2"/>
  <c r="E7" i="2"/>
  <c r="F4" i="2"/>
  <c r="F5" i="2" s="1"/>
  <c r="G4" i="2"/>
  <c r="G5" i="2" s="1"/>
  <c r="H4" i="2"/>
  <c r="H5" i="2" s="1"/>
  <c r="I4" i="2"/>
  <c r="I5" i="2" s="1"/>
  <c r="J4" i="2"/>
  <c r="J5" i="2" s="1"/>
  <c r="E4" i="2"/>
  <c r="E5" i="2" s="1"/>
  <c r="B3" i="6" l="1"/>
  <c r="B2" i="6"/>
  <c r="E4" i="5"/>
  <c r="D7" i="5"/>
  <c r="E5" i="5" s="1"/>
  <c r="E10" i="5"/>
  <c r="F7" i="5"/>
  <c r="H38" i="4"/>
  <c r="G38" i="4"/>
  <c r="F38" i="4" s="1"/>
  <c r="E38" i="4"/>
  <c r="H37" i="4"/>
  <c r="G37" i="4"/>
  <c r="F37" i="4" s="1"/>
  <c r="E37" i="4"/>
  <c r="H36" i="4"/>
  <c r="G36" i="4"/>
  <c r="F36" i="4" s="1"/>
  <c r="E36" i="4"/>
  <c r="H35" i="4"/>
  <c r="G35" i="4"/>
  <c r="F35" i="4" s="1"/>
  <c r="E35" i="4"/>
  <c r="H32" i="4"/>
  <c r="G32" i="4"/>
  <c r="F32" i="4" s="1"/>
  <c r="E32" i="4"/>
  <c r="H31" i="4"/>
  <c r="G31" i="4"/>
  <c r="F31" i="4" s="1"/>
  <c r="E31" i="4"/>
  <c r="H30" i="4"/>
  <c r="G30" i="4"/>
  <c r="F30" i="4" s="1"/>
  <c r="E30" i="4"/>
  <c r="H29" i="4"/>
  <c r="G29" i="4"/>
  <c r="F29" i="4" s="1"/>
  <c r="E29" i="4"/>
  <c r="H26" i="4"/>
  <c r="G26" i="4"/>
  <c r="F26" i="4" s="1"/>
  <c r="E26" i="4"/>
  <c r="H25" i="4"/>
  <c r="G25" i="4"/>
  <c r="F25" i="4" s="1"/>
  <c r="E25" i="4"/>
  <c r="H24" i="4"/>
  <c r="G24" i="4"/>
  <c r="F24" i="4" s="1"/>
  <c r="E24" i="4"/>
  <c r="H23" i="4"/>
  <c r="G23" i="4"/>
  <c r="F23" i="4" s="1"/>
  <c r="E23" i="4"/>
  <c r="H20" i="4"/>
  <c r="G20" i="4"/>
  <c r="E20" i="4"/>
  <c r="H19" i="4"/>
  <c r="G19" i="4"/>
  <c r="E19" i="4"/>
  <c r="H18" i="4"/>
  <c r="G18" i="4"/>
  <c r="E18" i="4"/>
  <c r="H17" i="4"/>
  <c r="G17" i="4"/>
  <c r="E17" i="4"/>
  <c r="H14" i="4"/>
  <c r="G14" i="4"/>
  <c r="F14" i="4" s="1"/>
  <c r="E14" i="4"/>
  <c r="H13" i="4"/>
  <c r="G13" i="4"/>
  <c r="F13" i="4" s="1"/>
  <c r="E13" i="4"/>
  <c r="H12" i="4"/>
  <c r="G12" i="4"/>
  <c r="F12" i="4" s="1"/>
  <c r="E12" i="4"/>
  <c r="H11" i="4"/>
  <c r="G11" i="4"/>
  <c r="F11" i="4" s="1"/>
  <c r="E11" i="4"/>
  <c r="H8" i="4"/>
  <c r="H7" i="4"/>
  <c r="H6" i="4"/>
  <c r="H5" i="4"/>
  <c r="G8" i="4"/>
  <c r="F8" i="4" s="1"/>
  <c r="G7" i="4"/>
  <c r="F7" i="4" s="1"/>
  <c r="G6" i="4"/>
  <c r="F6" i="4" s="1"/>
  <c r="G5" i="4"/>
  <c r="F5" i="4" s="1"/>
  <c r="E8" i="4"/>
  <c r="E7" i="4"/>
  <c r="E6" i="4"/>
  <c r="E5" i="4"/>
  <c r="AR6" i="2"/>
  <c r="AR7" i="2"/>
  <c r="AR8" i="2"/>
  <c r="AR9" i="2"/>
  <c r="AR10" i="2"/>
  <c r="AR11" i="2"/>
  <c r="AR12" i="2"/>
  <c r="AR13" i="2"/>
  <c r="AR14" i="2"/>
  <c r="AR15" i="2"/>
  <c r="AR16" i="2"/>
  <c r="AR17" i="2"/>
  <c r="AR18" i="2"/>
  <c r="AR19" i="2"/>
  <c r="AR20" i="2"/>
  <c r="AR21" i="2"/>
  <c r="AR22" i="2"/>
  <c r="AR23" i="2"/>
  <c r="AR24" i="2"/>
  <c r="AR25" i="2"/>
  <c r="AR26" i="2"/>
  <c r="AR27" i="2"/>
  <c r="AR28" i="2"/>
  <c r="AR29" i="2"/>
  <c r="AR30" i="2"/>
  <c r="AR31" i="2"/>
  <c r="AR32" i="2"/>
  <c r="AR33" i="2"/>
  <c r="AR34" i="2"/>
  <c r="AR35" i="2"/>
  <c r="AR36" i="2"/>
  <c r="AR37" i="2"/>
  <c r="AR38" i="2"/>
  <c r="AR39" i="2"/>
  <c r="AR40" i="2"/>
  <c r="AR41" i="2"/>
  <c r="AR42" i="2"/>
  <c r="AR43" i="2"/>
  <c r="AR44" i="2"/>
  <c r="AR45" i="2"/>
  <c r="AR46" i="2"/>
  <c r="AR47" i="2"/>
  <c r="AR48" i="2"/>
  <c r="AR49" i="2"/>
  <c r="AR50" i="2"/>
  <c r="AR51" i="2"/>
  <c r="AR52" i="2"/>
  <c r="AR53" i="2"/>
  <c r="AR54" i="2"/>
  <c r="AR55" i="2"/>
  <c r="AR56" i="2"/>
  <c r="AR57" i="2"/>
  <c r="AR58" i="2"/>
  <c r="AR59" i="2"/>
  <c r="AR60" i="2"/>
  <c r="AR61" i="2"/>
  <c r="AR62" i="2"/>
  <c r="AR63" i="2"/>
  <c r="AR64" i="2"/>
  <c r="AR65" i="2"/>
  <c r="AR66" i="2"/>
  <c r="AR67" i="2"/>
  <c r="AR68" i="2"/>
  <c r="AR69" i="2"/>
  <c r="AR70" i="2"/>
  <c r="AR71" i="2"/>
  <c r="AR72" i="2"/>
  <c r="AR73" i="2"/>
  <c r="AR74" i="2"/>
  <c r="AR75" i="2"/>
  <c r="AR76" i="2"/>
  <c r="AR77" i="2"/>
  <c r="AR78" i="2"/>
  <c r="AR79" i="2"/>
  <c r="AR80" i="2"/>
  <c r="AR81" i="2"/>
  <c r="AR82" i="2"/>
  <c r="AR83" i="2"/>
  <c r="AR84" i="2"/>
  <c r="AR85" i="2"/>
  <c r="AR86" i="2"/>
  <c r="AR87" i="2"/>
  <c r="AR88" i="2"/>
  <c r="AR89" i="2"/>
  <c r="AR90" i="2"/>
  <c r="AR91" i="2"/>
  <c r="AR92" i="2"/>
  <c r="AR93" i="2"/>
  <c r="AR94" i="2"/>
  <c r="AR95" i="2"/>
  <c r="AR96" i="2"/>
  <c r="AR97" i="2"/>
  <c r="AR98" i="2"/>
  <c r="AR99" i="2"/>
  <c r="AR100" i="2"/>
  <c r="AR101" i="2"/>
  <c r="AR102" i="2"/>
  <c r="AR103" i="2"/>
  <c r="AR104" i="2"/>
  <c r="AR105" i="2"/>
  <c r="AR106" i="2"/>
  <c r="AR107" i="2"/>
  <c r="AR108" i="2"/>
  <c r="AR109" i="2"/>
  <c r="AR110" i="2"/>
  <c r="AR111" i="2"/>
  <c r="AR112" i="2"/>
  <c r="AR113" i="2"/>
  <c r="AR114" i="2"/>
  <c r="AR115" i="2"/>
  <c r="AR116" i="2"/>
  <c r="AR117" i="2"/>
  <c r="AR118" i="2"/>
  <c r="AR119" i="2"/>
  <c r="AR120" i="2"/>
  <c r="AR121" i="2"/>
  <c r="AR122" i="2"/>
  <c r="AR123" i="2"/>
  <c r="AR124" i="2"/>
  <c r="AR125" i="2"/>
  <c r="AR126" i="2"/>
  <c r="AR127" i="2"/>
  <c r="AR128" i="2"/>
  <c r="AR129" i="2"/>
  <c r="AR130" i="2"/>
  <c r="AR131" i="2"/>
  <c r="AR132" i="2"/>
  <c r="AR133" i="2"/>
  <c r="AR134" i="2"/>
  <c r="AR135" i="2"/>
  <c r="AR136" i="2"/>
  <c r="AR137" i="2"/>
  <c r="AR138" i="2"/>
  <c r="AR139" i="2"/>
  <c r="AR140" i="2"/>
  <c r="AR141" i="2"/>
  <c r="AR142" i="2"/>
  <c r="AR143" i="2"/>
  <c r="AR144" i="2"/>
  <c r="AR145" i="2"/>
  <c r="AR146" i="2"/>
  <c r="AR147" i="2"/>
  <c r="AR148" i="2"/>
  <c r="AR149" i="2"/>
  <c r="AR150" i="2"/>
  <c r="AR151" i="2"/>
  <c r="AR152" i="2"/>
  <c r="AR153" i="2"/>
  <c r="AR154" i="2"/>
  <c r="AR155" i="2"/>
  <c r="AR156" i="2"/>
  <c r="AR157" i="2"/>
  <c r="AR158" i="2"/>
  <c r="AR159" i="2"/>
  <c r="AR160" i="2"/>
  <c r="AR161" i="2"/>
  <c r="AR162" i="2"/>
  <c r="AR163" i="2"/>
  <c r="AR164" i="2"/>
  <c r="AR165" i="2"/>
  <c r="AR166" i="2"/>
  <c r="AR167" i="2"/>
  <c r="AR168" i="2"/>
  <c r="AR169" i="2"/>
  <c r="AR170" i="2"/>
  <c r="AR171" i="2"/>
  <c r="AR172" i="2"/>
  <c r="AR173" i="2"/>
  <c r="AR174" i="2"/>
  <c r="AR175" i="2"/>
  <c r="AR176" i="2"/>
  <c r="AR177" i="2"/>
  <c r="AR178" i="2"/>
  <c r="AR179" i="2"/>
  <c r="AR180" i="2"/>
  <c r="AR181" i="2"/>
  <c r="AR182" i="2"/>
  <c r="AR183" i="2"/>
  <c r="AR184" i="2"/>
  <c r="AR185" i="2"/>
  <c r="AR186" i="2"/>
  <c r="AR187" i="2"/>
  <c r="AR188" i="2"/>
  <c r="AR189" i="2"/>
  <c r="AR190" i="2"/>
  <c r="AR191" i="2"/>
  <c r="AR192" i="2"/>
  <c r="AR193" i="2"/>
  <c r="AR194" i="2"/>
  <c r="AR195" i="2"/>
  <c r="AR196" i="2"/>
  <c r="AR197" i="2"/>
  <c r="AR198" i="2"/>
  <c r="AR199" i="2"/>
  <c r="AR200" i="2"/>
  <c r="AR201" i="2"/>
  <c r="AR202" i="2"/>
  <c r="AR203" i="2"/>
  <c r="AR204" i="2"/>
  <c r="AR205" i="2"/>
  <c r="AR206" i="2"/>
  <c r="AR207" i="2"/>
  <c r="AR208" i="2"/>
  <c r="AR209" i="2"/>
  <c r="AR210" i="2"/>
  <c r="AR211" i="2"/>
  <c r="AR212" i="2"/>
  <c r="AR213" i="2"/>
  <c r="AR214" i="2"/>
  <c r="AR215" i="2"/>
  <c r="AR216" i="2"/>
  <c r="AR217" i="2"/>
  <c r="AR218" i="2"/>
  <c r="AR219" i="2"/>
  <c r="AR220" i="2"/>
  <c r="AR221" i="2"/>
  <c r="AR222" i="2"/>
  <c r="AR223" i="2"/>
  <c r="AR224" i="2"/>
  <c r="AR225" i="2"/>
  <c r="AR226" i="2"/>
  <c r="AR227" i="2"/>
  <c r="AR228" i="2"/>
  <c r="AR229" i="2"/>
  <c r="AR230" i="2"/>
  <c r="AR231" i="2"/>
  <c r="AR232" i="2"/>
  <c r="AR233" i="2"/>
  <c r="AR234" i="2"/>
  <c r="AR235" i="2"/>
  <c r="AR236" i="2"/>
  <c r="AR237" i="2"/>
  <c r="AR238" i="2"/>
  <c r="AR239" i="2"/>
  <c r="AR240" i="2"/>
  <c r="AR241" i="2"/>
  <c r="AR242" i="2"/>
  <c r="AR243" i="2"/>
  <c r="AR244" i="2"/>
  <c r="AR245" i="2"/>
  <c r="AR246" i="2"/>
  <c r="AR247" i="2"/>
  <c r="AR248" i="2"/>
  <c r="AR249" i="2"/>
  <c r="AR250" i="2"/>
  <c r="AR251" i="2"/>
  <c r="AR252" i="2"/>
  <c r="AR253" i="2"/>
  <c r="AR254" i="2"/>
  <c r="AR255" i="2"/>
  <c r="AR256" i="2"/>
  <c r="AR257" i="2"/>
  <c r="AR258" i="2"/>
  <c r="AR259" i="2"/>
  <c r="AR260" i="2"/>
  <c r="AR261" i="2"/>
  <c r="AR262" i="2"/>
  <c r="AR263" i="2"/>
  <c r="AR264" i="2"/>
  <c r="AR265" i="2"/>
  <c r="AR266" i="2"/>
  <c r="AR267" i="2"/>
  <c r="AR268" i="2"/>
  <c r="AR269" i="2"/>
  <c r="AR270" i="2"/>
  <c r="AR271" i="2"/>
  <c r="AR272" i="2"/>
  <c r="AR273" i="2"/>
  <c r="AR274" i="2"/>
  <c r="AR275" i="2"/>
  <c r="AR276" i="2"/>
  <c r="AR277" i="2"/>
  <c r="AR278" i="2"/>
  <c r="AR279" i="2"/>
  <c r="AR280" i="2"/>
  <c r="AR281" i="2"/>
  <c r="AR282" i="2"/>
  <c r="AR283" i="2"/>
  <c r="AR284" i="2"/>
  <c r="AR285" i="2"/>
  <c r="AR286" i="2"/>
  <c r="AR287" i="2"/>
  <c r="AR288" i="2"/>
  <c r="AR289" i="2"/>
  <c r="AR290" i="2"/>
  <c r="AR291" i="2"/>
  <c r="AR292" i="2"/>
  <c r="AR293" i="2"/>
  <c r="AR294" i="2"/>
  <c r="AR295" i="2"/>
  <c r="AR296" i="2"/>
  <c r="AR297" i="2"/>
  <c r="AR298" i="2"/>
  <c r="AR299" i="2"/>
  <c r="AR300" i="2"/>
  <c r="AR301" i="2"/>
  <c r="AR302" i="2"/>
  <c r="AR303" i="2"/>
  <c r="AR304" i="2"/>
  <c r="AR305" i="2"/>
  <c r="AR306" i="2"/>
  <c r="AR307" i="2"/>
  <c r="AR308" i="2"/>
  <c r="AR309" i="2"/>
  <c r="AR310" i="2"/>
  <c r="AR311" i="2"/>
  <c r="AR312" i="2"/>
  <c r="AR313" i="2"/>
  <c r="AR314" i="2"/>
  <c r="AR315" i="2"/>
  <c r="AR316" i="2"/>
  <c r="AR317" i="2"/>
  <c r="AR318" i="2"/>
  <c r="AR319" i="2"/>
  <c r="AR320" i="2"/>
  <c r="AR321" i="2"/>
  <c r="AR322" i="2"/>
  <c r="AR323" i="2"/>
  <c r="AR324" i="2"/>
  <c r="AR325" i="2"/>
  <c r="AR326" i="2"/>
  <c r="AR327" i="2"/>
  <c r="AR328" i="2"/>
  <c r="AR329" i="2"/>
  <c r="AR330" i="2"/>
  <c r="AR331" i="2"/>
  <c r="AR332" i="2"/>
  <c r="AR333" i="2"/>
  <c r="AR334" i="2"/>
  <c r="AR335" i="2"/>
  <c r="AR336" i="2"/>
  <c r="AR337" i="2"/>
  <c r="AR338" i="2"/>
  <c r="AR339" i="2"/>
  <c r="AR340" i="2"/>
  <c r="AR341" i="2"/>
  <c r="AR342" i="2"/>
  <c r="AR343" i="2"/>
  <c r="AR344" i="2"/>
  <c r="AR345" i="2"/>
  <c r="AR346" i="2"/>
  <c r="AR347" i="2"/>
  <c r="AR348" i="2"/>
  <c r="AR349" i="2"/>
  <c r="AR350" i="2"/>
  <c r="AR351" i="2"/>
  <c r="AR352" i="2"/>
  <c r="AR353" i="2"/>
  <c r="AR354" i="2"/>
  <c r="AR355" i="2"/>
  <c r="AR356" i="2"/>
  <c r="AR357" i="2"/>
  <c r="AR358" i="2"/>
  <c r="AR359" i="2"/>
  <c r="AR360" i="2"/>
  <c r="AR361" i="2"/>
  <c r="AR362" i="2"/>
  <c r="AR363" i="2"/>
  <c r="AR364" i="2"/>
  <c r="AR365" i="2"/>
  <c r="AR366" i="2"/>
  <c r="AR367" i="2"/>
  <c r="AR368" i="2"/>
  <c r="AR369" i="2"/>
  <c r="AR370" i="2"/>
  <c r="AR371" i="2"/>
  <c r="AR372" i="2"/>
  <c r="AR373" i="2"/>
  <c r="AR374" i="2"/>
  <c r="AR375" i="2"/>
  <c r="AR376" i="2"/>
  <c r="AR377" i="2"/>
  <c r="AR378" i="2"/>
  <c r="AR379" i="2"/>
  <c r="AR380" i="2"/>
  <c r="AR381" i="2"/>
  <c r="AR382" i="2"/>
  <c r="AR383" i="2"/>
  <c r="AR384" i="2"/>
  <c r="AR385" i="2"/>
  <c r="AR386" i="2"/>
  <c r="AR387" i="2"/>
  <c r="AR388" i="2"/>
  <c r="AR389" i="2"/>
  <c r="AR390" i="2"/>
  <c r="AR391" i="2"/>
  <c r="AR392" i="2"/>
  <c r="AR393" i="2"/>
  <c r="AR394" i="2"/>
  <c r="AR395" i="2"/>
  <c r="AR396" i="2"/>
  <c r="AR397" i="2"/>
  <c r="AR398" i="2"/>
  <c r="AR399" i="2"/>
  <c r="AR400" i="2"/>
  <c r="AR401" i="2"/>
  <c r="AR402" i="2"/>
  <c r="AR403" i="2"/>
  <c r="AR404" i="2"/>
  <c r="AR405" i="2"/>
  <c r="AR406" i="2"/>
  <c r="AR407" i="2"/>
  <c r="AR408" i="2"/>
  <c r="AR409" i="2"/>
  <c r="AR410" i="2"/>
  <c r="AR411" i="2"/>
  <c r="AR412" i="2"/>
  <c r="AR413" i="2"/>
  <c r="AR414" i="2"/>
  <c r="AR415" i="2"/>
  <c r="AR416" i="2"/>
  <c r="AR417" i="2"/>
  <c r="AR418" i="2"/>
  <c r="AR419" i="2"/>
  <c r="AR420" i="2"/>
  <c r="AR421" i="2"/>
  <c r="AR422" i="2"/>
  <c r="AR423" i="2"/>
  <c r="AR424" i="2"/>
  <c r="AR425" i="2"/>
  <c r="AR426" i="2"/>
  <c r="AR427" i="2"/>
  <c r="AR428" i="2"/>
  <c r="AR429" i="2"/>
  <c r="AR430" i="2"/>
  <c r="AR431" i="2"/>
  <c r="AR432" i="2"/>
  <c r="AR433" i="2"/>
  <c r="AR434" i="2"/>
  <c r="AR435" i="2"/>
  <c r="AR436" i="2"/>
  <c r="AR437" i="2"/>
  <c r="AR438" i="2"/>
  <c r="AR439" i="2"/>
  <c r="AR440" i="2"/>
  <c r="AR441" i="2"/>
  <c r="AR442" i="2"/>
  <c r="AR443" i="2"/>
  <c r="AR444" i="2"/>
  <c r="AR445" i="2"/>
  <c r="AR446" i="2"/>
  <c r="AR447" i="2"/>
  <c r="AR448" i="2"/>
  <c r="AR449" i="2"/>
  <c r="AR450" i="2"/>
  <c r="AR451" i="2"/>
  <c r="AR452" i="2"/>
  <c r="AR453" i="2"/>
  <c r="AR454" i="2"/>
  <c r="AR455" i="2"/>
  <c r="AR456" i="2"/>
  <c r="AR457" i="2"/>
  <c r="AR458" i="2"/>
  <c r="AR459" i="2"/>
  <c r="AR460" i="2"/>
  <c r="AR461" i="2"/>
  <c r="AR462" i="2"/>
  <c r="AR463" i="2"/>
  <c r="AR464" i="2"/>
  <c r="AR465" i="2"/>
  <c r="AR466" i="2"/>
  <c r="AR467" i="2"/>
  <c r="AR468" i="2"/>
  <c r="AR469" i="2"/>
  <c r="AR472" i="2"/>
  <c r="AR473" i="2"/>
  <c r="AR474" i="2"/>
  <c r="AR475" i="2"/>
  <c r="AR476" i="2"/>
  <c r="AR477" i="2"/>
  <c r="AR478" i="2"/>
  <c r="AR479" i="2"/>
  <c r="AR480" i="2"/>
  <c r="AR481" i="2"/>
  <c r="AR482" i="2"/>
  <c r="AR483" i="2"/>
  <c r="AR484" i="2"/>
  <c r="AR485" i="2"/>
  <c r="AR486" i="2"/>
  <c r="AR487" i="2"/>
  <c r="AR488" i="2"/>
  <c r="AR489" i="2"/>
  <c r="AR490" i="2"/>
  <c r="AR491" i="2"/>
  <c r="AR492" i="2"/>
  <c r="AR493" i="2"/>
  <c r="AR494" i="2"/>
  <c r="AR495" i="2"/>
  <c r="AR496" i="2"/>
  <c r="AR497" i="2"/>
  <c r="AR498" i="2"/>
  <c r="AR499" i="2"/>
  <c r="AR500" i="2"/>
  <c r="AR501" i="2"/>
  <c r="AR502" i="2"/>
  <c r="AR503" i="2"/>
  <c r="AR504" i="2"/>
  <c r="AR505" i="2"/>
  <c r="AR506" i="2"/>
  <c r="AR507" i="2"/>
  <c r="AR508" i="2"/>
  <c r="AR509" i="2"/>
  <c r="AR510" i="2"/>
  <c r="AR511" i="2"/>
  <c r="AR512" i="2"/>
  <c r="AR513" i="2"/>
  <c r="AR514" i="2"/>
  <c r="AR515" i="2"/>
  <c r="AR516" i="2"/>
  <c r="AR517" i="2"/>
  <c r="AR518" i="2"/>
  <c r="AR519" i="2"/>
  <c r="AR520" i="2"/>
  <c r="AR521" i="2"/>
  <c r="AR522" i="2"/>
  <c r="AR523" i="2"/>
  <c r="AR524" i="2"/>
  <c r="AR525" i="2"/>
  <c r="AR526" i="2"/>
  <c r="AR527" i="2"/>
  <c r="AR528" i="2"/>
  <c r="AR529" i="2"/>
  <c r="AR530" i="2"/>
  <c r="AR531" i="2"/>
  <c r="AR532" i="2"/>
  <c r="AR533" i="2"/>
  <c r="AR534" i="2"/>
  <c r="AR535" i="2"/>
  <c r="AR536" i="2"/>
  <c r="AR537" i="2"/>
  <c r="AR538" i="2"/>
  <c r="AR539" i="2"/>
  <c r="AR540" i="2"/>
  <c r="AR541" i="2"/>
  <c r="AR542" i="2"/>
  <c r="AR543" i="2"/>
  <c r="AR544" i="2"/>
  <c r="AR545" i="2"/>
  <c r="AR546" i="2"/>
  <c r="AR547" i="2"/>
  <c r="AR548" i="2"/>
  <c r="AR549" i="2"/>
  <c r="AR550" i="2"/>
  <c r="AR551" i="2"/>
  <c r="AR552" i="2"/>
  <c r="AR553" i="2"/>
  <c r="AR554" i="2"/>
  <c r="AR555" i="2"/>
  <c r="AR556" i="2"/>
  <c r="AR557" i="2"/>
  <c r="AR558" i="2"/>
  <c r="AR559" i="2"/>
  <c r="AR560" i="2"/>
  <c r="AR561" i="2"/>
  <c r="AR562" i="2"/>
  <c r="AR563" i="2"/>
  <c r="AR564" i="2"/>
  <c r="AR565" i="2"/>
  <c r="AR566" i="2"/>
  <c r="AR567" i="2"/>
  <c r="AR568" i="2"/>
  <c r="AR569" i="2"/>
  <c r="AR570" i="2"/>
  <c r="AR571" i="2"/>
  <c r="AR572" i="2"/>
  <c r="AR573" i="2"/>
  <c r="AR574" i="2"/>
  <c r="AR575" i="2"/>
  <c r="AR576" i="2"/>
  <c r="AR577" i="2"/>
  <c r="AR578" i="2"/>
  <c r="AR579" i="2"/>
  <c r="AR580" i="2"/>
  <c r="AR581" i="2"/>
  <c r="AR582" i="2"/>
  <c r="AR583" i="2"/>
  <c r="AR584" i="2"/>
  <c r="AR585" i="2"/>
  <c r="AR586" i="2"/>
  <c r="AR587" i="2"/>
  <c r="AR588" i="2"/>
  <c r="AR589" i="2"/>
  <c r="AR590" i="2"/>
  <c r="AR591" i="2"/>
  <c r="AR592" i="2"/>
  <c r="AR593" i="2"/>
  <c r="AR594" i="2"/>
  <c r="AR595" i="2"/>
  <c r="AR596" i="2"/>
  <c r="AR597" i="2"/>
  <c r="AR598" i="2"/>
  <c r="AR599" i="2"/>
  <c r="AR600" i="2"/>
  <c r="AR601" i="2"/>
  <c r="AR602" i="2"/>
  <c r="AR603" i="2"/>
  <c r="AR604" i="2"/>
  <c r="AR605" i="2"/>
  <c r="AR606" i="2"/>
  <c r="AR607" i="2"/>
  <c r="AR608" i="2"/>
  <c r="AR609" i="2"/>
  <c r="AR610" i="2"/>
  <c r="AR611" i="2"/>
  <c r="AR612" i="2"/>
  <c r="AR613" i="2"/>
  <c r="AR614" i="2"/>
  <c r="AR615" i="2"/>
  <c r="AR616" i="2"/>
  <c r="AR617" i="2"/>
  <c r="AR618" i="2"/>
  <c r="AR619" i="2"/>
  <c r="AR620" i="2"/>
  <c r="AR621" i="2"/>
  <c r="AR622" i="2"/>
  <c r="AR623" i="2"/>
  <c r="AR624" i="2"/>
  <c r="AR625" i="2"/>
  <c r="AR626" i="2"/>
  <c r="AR627" i="2"/>
  <c r="AR628" i="2"/>
  <c r="AR629" i="2"/>
  <c r="AR630" i="2"/>
  <c r="AR631" i="2"/>
  <c r="AR632" i="2"/>
  <c r="AR633" i="2"/>
  <c r="AR634" i="2"/>
  <c r="AR635" i="2"/>
  <c r="AR636" i="2"/>
  <c r="AR637" i="2"/>
  <c r="AR638" i="2"/>
  <c r="AR639" i="2"/>
  <c r="AR641" i="2"/>
  <c r="AR642" i="2"/>
  <c r="AR643" i="2"/>
  <c r="AR644" i="2"/>
  <c r="AR645" i="2"/>
  <c r="AR646" i="2"/>
  <c r="AR647" i="2"/>
  <c r="AR648" i="2"/>
  <c r="AR649" i="2"/>
  <c r="AR650" i="2"/>
  <c r="AR651" i="2"/>
  <c r="AR652" i="2"/>
  <c r="AR653" i="2"/>
  <c r="AR654" i="2"/>
  <c r="AR656" i="2"/>
  <c r="AR658" i="2"/>
  <c r="AR659" i="2"/>
  <c r="AR660" i="2"/>
  <c r="AR661" i="2"/>
  <c r="AR662" i="2"/>
  <c r="AR663" i="2"/>
  <c r="AR664" i="2"/>
  <c r="AR665" i="2"/>
  <c r="AR666" i="2"/>
  <c r="AR667" i="2"/>
  <c r="AR668" i="2"/>
  <c r="AR669" i="2"/>
  <c r="AR670" i="2"/>
  <c r="AR671" i="2"/>
  <c r="AR672" i="2"/>
  <c r="AR673" i="2"/>
  <c r="AR674" i="2"/>
  <c r="AR675" i="2"/>
  <c r="AR676" i="2"/>
  <c r="AR677" i="2"/>
  <c r="AR678" i="2"/>
  <c r="AR679" i="2"/>
  <c r="AR680" i="2"/>
  <c r="AR681" i="2"/>
  <c r="AR682" i="2"/>
  <c r="AR683" i="2"/>
  <c r="AR684" i="2"/>
  <c r="AR685" i="2"/>
  <c r="AR686" i="2"/>
  <c r="AR687" i="2"/>
  <c r="AR688" i="2"/>
  <c r="AR689" i="2"/>
  <c r="AR690" i="2"/>
  <c r="AR691" i="2"/>
  <c r="AR692" i="2"/>
  <c r="AR693" i="2"/>
  <c r="AR694" i="2"/>
  <c r="AR695" i="2"/>
  <c r="AR696" i="2"/>
  <c r="AR697" i="2"/>
  <c r="AR698" i="2"/>
  <c r="AR699" i="2"/>
  <c r="AR700" i="2"/>
  <c r="AR701" i="2"/>
  <c r="AR702" i="2"/>
  <c r="AR703" i="2"/>
  <c r="AR704" i="2"/>
  <c r="AR705" i="2"/>
  <c r="AR706" i="2"/>
  <c r="AR707" i="2"/>
  <c r="AR708" i="2"/>
  <c r="AR709" i="2"/>
  <c r="AR710" i="2"/>
  <c r="AR711" i="2"/>
  <c r="AR712" i="2"/>
  <c r="AR713" i="2"/>
  <c r="AR714" i="2"/>
  <c r="AR715" i="2"/>
  <c r="AR716" i="2"/>
  <c r="AR717" i="2"/>
  <c r="AR718" i="2"/>
  <c r="AR719" i="2"/>
  <c r="AR720" i="2"/>
  <c r="AR721" i="2"/>
  <c r="AR722" i="2"/>
  <c r="AR723" i="2"/>
  <c r="AR724" i="2"/>
  <c r="AR725" i="2"/>
  <c r="AR726" i="2"/>
  <c r="AR727" i="2"/>
  <c r="AR728" i="2"/>
  <c r="AR729" i="2"/>
  <c r="AR730" i="2"/>
  <c r="AR731" i="2"/>
  <c r="AR732" i="2"/>
  <c r="AR733" i="2"/>
  <c r="AR734" i="2"/>
  <c r="AR735" i="2"/>
  <c r="AR736" i="2"/>
  <c r="AR737" i="2"/>
  <c r="AR738" i="2"/>
  <c r="AR739" i="2"/>
  <c r="AR740" i="2"/>
  <c r="AR741" i="2"/>
  <c r="AR742" i="2"/>
  <c r="AR743" i="2"/>
  <c r="AR744" i="2"/>
  <c r="AR745" i="2"/>
  <c r="AR746" i="2"/>
  <c r="AR747" i="2"/>
  <c r="AR748" i="2"/>
  <c r="AR749" i="2"/>
  <c r="AR750" i="2"/>
  <c r="AR751" i="2"/>
  <c r="AR752" i="2"/>
  <c r="AR753" i="2"/>
  <c r="AR754" i="2"/>
  <c r="AR755" i="2"/>
  <c r="AR756" i="2"/>
  <c r="AR757" i="2"/>
  <c r="AR758" i="2"/>
  <c r="AR759" i="2"/>
  <c r="AR760" i="2"/>
  <c r="AR761" i="2"/>
  <c r="AR762" i="2"/>
  <c r="AR763" i="2"/>
  <c r="AR764" i="2"/>
  <c r="AR765" i="2"/>
  <c r="AR766" i="2"/>
  <c r="AR767" i="2"/>
  <c r="AR768" i="2"/>
  <c r="AR769" i="2"/>
  <c r="AR770" i="2"/>
  <c r="AR771" i="2"/>
  <c r="AR772" i="2"/>
  <c r="AR773" i="2"/>
  <c r="AR774" i="2"/>
  <c r="AR775" i="2"/>
  <c r="AR776" i="2"/>
  <c r="AR777" i="2"/>
  <c r="AR778" i="2"/>
  <c r="AR779" i="2"/>
  <c r="AR780" i="2"/>
  <c r="AR781" i="2"/>
  <c r="AR782" i="2"/>
  <c r="AR783" i="2"/>
  <c r="AR784" i="2"/>
  <c r="AR785" i="2"/>
  <c r="AR786" i="2"/>
  <c r="AR787" i="2"/>
  <c r="AR788" i="2"/>
  <c r="AR789" i="2"/>
  <c r="AR790" i="2"/>
  <c r="AR791" i="2"/>
  <c r="AR792" i="2"/>
  <c r="AR793" i="2"/>
  <c r="AR794" i="2"/>
  <c r="AR795" i="2"/>
  <c r="AR796" i="2"/>
  <c r="AR797" i="2"/>
  <c r="AR798" i="2"/>
  <c r="AR799" i="2"/>
  <c r="AR800" i="2"/>
  <c r="AR801" i="2"/>
  <c r="AR802" i="2"/>
  <c r="AR803" i="2"/>
  <c r="AR804" i="2"/>
  <c r="AR805" i="2"/>
  <c r="AR806" i="2"/>
  <c r="AR807" i="2"/>
  <c r="AR808" i="2"/>
  <c r="AR809" i="2"/>
  <c r="AR810" i="2"/>
  <c r="AR811" i="2"/>
  <c r="AR812" i="2"/>
  <c r="AR813" i="2"/>
  <c r="AR814" i="2"/>
  <c r="AR815" i="2"/>
  <c r="AR816" i="2"/>
  <c r="AR817" i="2"/>
  <c r="AR818" i="2"/>
  <c r="AR819" i="2"/>
  <c r="AR820" i="2"/>
  <c r="AR821" i="2"/>
  <c r="AR822" i="2"/>
  <c r="AR823" i="2"/>
  <c r="AR824" i="2"/>
  <c r="AR825" i="2"/>
  <c r="AR826" i="2"/>
  <c r="AR827" i="2"/>
  <c r="AR828" i="2"/>
  <c r="AR829" i="2"/>
  <c r="AR830" i="2"/>
  <c r="AR831" i="2"/>
  <c r="AR832" i="2"/>
  <c r="AR833" i="2"/>
  <c r="AR834" i="2"/>
  <c r="AR835" i="2"/>
  <c r="AR836" i="2"/>
  <c r="AR837" i="2"/>
  <c r="AR838" i="2"/>
  <c r="AR839" i="2"/>
  <c r="AR841" i="2"/>
  <c r="AR843" i="2"/>
  <c r="AR844" i="2"/>
  <c r="AR845" i="2"/>
  <c r="AR846" i="2"/>
  <c r="AR847" i="2"/>
  <c r="AR848" i="2"/>
  <c r="AR849" i="2"/>
  <c r="AR850" i="2"/>
  <c r="AR851" i="2"/>
  <c r="AR852" i="2"/>
  <c r="AR853" i="2"/>
  <c r="AR854" i="2"/>
  <c r="AR855" i="2"/>
  <c r="AR856" i="2"/>
  <c r="AR857" i="2"/>
  <c r="AR858" i="2"/>
  <c r="AR859" i="2"/>
  <c r="AR860" i="2"/>
  <c r="AR861" i="2"/>
  <c r="AR862" i="2"/>
  <c r="AR863" i="2"/>
  <c r="AR864" i="2"/>
  <c r="AR865" i="2"/>
  <c r="AR866" i="2"/>
  <c r="AR867" i="2"/>
  <c r="AR868" i="2"/>
  <c r="AR869" i="2"/>
  <c r="AR870" i="2"/>
  <c r="AR871" i="2"/>
  <c r="AR872" i="2"/>
  <c r="AR873" i="2"/>
  <c r="AR874" i="2"/>
  <c r="AR875" i="2"/>
  <c r="AR876" i="2"/>
  <c r="AR877" i="2"/>
  <c r="AR878" i="2"/>
  <c r="AR879" i="2"/>
  <c r="AR880" i="2"/>
  <c r="AR881" i="2"/>
  <c r="AR882" i="2"/>
  <c r="AR883" i="2"/>
  <c r="AR884" i="2"/>
  <c r="AR885" i="2"/>
  <c r="AR886" i="2"/>
  <c r="AR887" i="2"/>
  <c r="AR888" i="2"/>
  <c r="AR889" i="2"/>
  <c r="AR890" i="2"/>
  <c r="AR891" i="2"/>
  <c r="AR892" i="2"/>
  <c r="AR893" i="2"/>
  <c r="AR894" i="2"/>
  <c r="AR895" i="2"/>
  <c r="AR896" i="2"/>
  <c r="AR897" i="2"/>
  <c r="AR898" i="2"/>
  <c r="AR899" i="2"/>
  <c r="AR900" i="2"/>
  <c r="AR901" i="2"/>
  <c r="AR902" i="2"/>
  <c r="AR903" i="2"/>
  <c r="AR904" i="2"/>
  <c r="AR905" i="2"/>
  <c r="AR906" i="2"/>
  <c r="AR907" i="2"/>
  <c r="AR908" i="2"/>
  <c r="AR909" i="2"/>
  <c r="AR910" i="2"/>
  <c r="AR911" i="2"/>
  <c r="AR912" i="2"/>
  <c r="AR913" i="2"/>
  <c r="AR914" i="2"/>
  <c r="AR915" i="2"/>
  <c r="AR916" i="2"/>
  <c r="AR917" i="2"/>
  <c r="AR3" i="2"/>
  <c r="AR4" i="2"/>
  <c r="AR5" i="2"/>
  <c r="AX3" i="2"/>
  <c r="F20" i="4" l="1"/>
  <c r="F19" i="4"/>
  <c r="F18" i="4"/>
  <c r="F17" i="4"/>
  <c r="C222" i="6"/>
  <c r="C223" i="6"/>
  <c r="C219" i="6"/>
  <c r="A219" i="6" s="1"/>
  <c r="C184" i="6"/>
  <c r="A184" i="6" s="1"/>
  <c r="C163" i="6"/>
  <c r="A163" i="6" s="1"/>
  <c r="C218" i="6"/>
  <c r="A218" i="6" s="1"/>
  <c r="C212" i="6"/>
  <c r="A212" i="6" s="1"/>
  <c r="C206" i="6"/>
  <c r="A206" i="6" s="1"/>
  <c r="C202" i="6"/>
  <c r="A202" i="6" s="1"/>
  <c r="C197" i="6"/>
  <c r="A197" i="6" s="1"/>
  <c r="C193" i="6"/>
  <c r="A193" i="6" s="1"/>
  <c r="C187" i="6"/>
  <c r="A187" i="6" s="1"/>
  <c r="C183" i="6"/>
  <c r="A183" i="6" s="1"/>
  <c r="C177" i="6"/>
  <c r="A177" i="6" s="1"/>
  <c r="C171" i="6"/>
  <c r="A171" i="6" s="1"/>
  <c r="C167" i="6"/>
  <c r="A167" i="6" s="1"/>
  <c r="C162" i="6"/>
  <c r="A162" i="6" s="1"/>
  <c r="C158" i="6"/>
  <c r="A158" i="6" s="1"/>
  <c r="C221" i="6"/>
  <c r="A221" i="6" s="1"/>
  <c r="C211" i="6"/>
  <c r="A211" i="6" s="1"/>
  <c r="C205" i="6"/>
  <c r="A205" i="6" s="1"/>
  <c r="C201" i="6"/>
  <c r="A201" i="6" s="1"/>
  <c r="C196" i="6"/>
  <c r="A196" i="6" s="1"/>
  <c r="C192" i="6"/>
  <c r="A192" i="6" s="1"/>
  <c r="C180" i="6"/>
  <c r="A180" i="6" s="1"/>
  <c r="C174" i="6"/>
  <c r="A174" i="6" s="1"/>
  <c r="C170" i="6"/>
  <c r="A170" i="6" s="1"/>
  <c r="C161" i="6"/>
  <c r="A161" i="6" s="1"/>
  <c r="C217" i="6"/>
  <c r="A217" i="6" s="1"/>
  <c r="C186" i="6"/>
  <c r="A186" i="6" s="1"/>
  <c r="C165" i="6"/>
  <c r="A165" i="6" s="1"/>
  <c r="C220" i="6"/>
  <c r="A220" i="6" s="1"/>
  <c r="C214" i="6"/>
  <c r="A214" i="6" s="1"/>
  <c r="C208" i="6"/>
  <c r="A208" i="6" s="1"/>
  <c r="C204" i="6"/>
  <c r="A204" i="6" s="1"/>
  <c r="C199" i="6"/>
  <c r="A199" i="6" s="1"/>
  <c r="C195" i="6"/>
  <c r="A195" i="6" s="1"/>
  <c r="C189" i="6"/>
  <c r="C185" i="6"/>
  <c r="A185" i="6" s="1"/>
  <c r="C179" i="6"/>
  <c r="A179" i="6" s="1"/>
  <c r="C173" i="6"/>
  <c r="A173" i="6" s="1"/>
  <c r="C169" i="6"/>
  <c r="A169" i="6" s="1"/>
  <c r="C164" i="6"/>
  <c r="A164" i="6" s="1"/>
  <c r="C160" i="6"/>
  <c r="A160" i="6" s="1"/>
  <c r="C213" i="6"/>
  <c r="A213" i="6" s="1"/>
  <c r="C207" i="6"/>
  <c r="A207" i="6" s="1"/>
  <c r="C203" i="6"/>
  <c r="A203" i="6" s="1"/>
  <c r="C198" i="6"/>
  <c r="A198" i="6" s="1"/>
  <c r="C194" i="6"/>
  <c r="A194" i="6" s="1"/>
  <c r="C188" i="6"/>
  <c r="C178" i="6"/>
  <c r="A178" i="6" s="1"/>
  <c r="C172" i="6"/>
  <c r="A172" i="6" s="1"/>
  <c r="C168" i="6"/>
  <c r="A168" i="6" s="1"/>
  <c r="C159" i="6"/>
  <c r="A159" i="6" s="1"/>
  <c r="C155" i="6"/>
  <c r="C151" i="6"/>
  <c r="A151" i="6" s="1"/>
  <c r="C145" i="6"/>
  <c r="A145" i="6" s="1"/>
  <c r="C139" i="6"/>
  <c r="A139" i="6" s="1"/>
  <c r="C135" i="6"/>
  <c r="A135" i="6" s="1"/>
  <c r="C126" i="6"/>
  <c r="A126" i="6" s="1"/>
  <c r="C130" i="6"/>
  <c r="A130" i="6" s="1"/>
  <c r="C120" i="6"/>
  <c r="C116" i="6"/>
  <c r="A116" i="6" s="1"/>
  <c r="C110" i="6"/>
  <c r="A110" i="6" s="1"/>
  <c r="C104" i="6"/>
  <c r="A104" i="6" s="1"/>
  <c r="C100" i="6"/>
  <c r="A100" i="6" s="1"/>
  <c r="C95" i="6"/>
  <c r="A95" i="6" s="1"/>
  <c r="C91" i="6"/>
  <c r="A91" i="6" s="1"/>
  <c r="C85" i="6"/>
  <c r="A85" i="6" s="1"/>
  <c r="C81" i="6"/>
  <c r="A81" i="6" s="1"/>
  <c r="C76" i="6"/>
  <c r="A76" i="6" s="1"/>
  <c r="C70" i="6"/>
  <c r="A70" i="6" s="1"/>
  <c r="C66" i="6"/>
  <c r="A66" i="6" s="1"/>
  <c r="C61" i="6"/>
  <c r="A61" i="6" s="1"/>
  <c r="C57" i="6"/>
  <c r="A57" i="6" s="1"/>
  <c r="C146" i="6"/>
  <c r="A146" i="6" s="1"/>
  <c r="C125" i="6"/>
  <c r="A125" i="6" s="1"/>
  <c r="C121" i="6"/>
  <c r="C105" i="6"/>
  <c r="A105" i="6" s="1"/>
  <c r="C92" i="6"/>
  <c r="A92" i="6" s="1"/>
  <c r="C71" i="6"/>
  <c r="A71" i="6" s="1"/>
  <c r="C58" i="6"/>
  <c r="A58" i="6" s="1"/>
  <c r="C154" i="6"/>
  <c r="C150" i="6"/>
  <c r="A150" i="6" s="1"/>
  <c r="C144" i="6"/>
  <c r="A144" i="6" s="1"/>
  <c r="C138" i="6"/>
  <c r="A138" i="6" s="1"/>
  <c r="C134" i="6"/>
  <c r="A134" i="6" s="1"/>
  <c r="C127" i="6"/>
  <c r="A127" i="6" s="1"/>
  <c r="C131" i="6"/>
  <c r="A131" i="6" s="1"/>
  <c r="C119" i="6"/>
  <c r="A119" i="6" s="1"/>
  <c r="C115" i="6"/>
  <c r="A115" i="6" s="1"/>
  <c r="C109" i="6"/>
  <c r="A109" i="6" s="1"/>
  <c r="C103" i="6"/>
  <c r="A103" i="6" s="1"/>
  <c r="C99" i="6"/>
  <c r="A99" i="6" s="1"/>
  <c r="C94" i="6"/>
  <c r="A94" i="6" s="1"/>
  <c r="C90" i="6"/>
  <c r="A90" i="6" s="1"/>
  <c r="C84" i="6"/>
  <c r="A84" i="6" s="1"/>
  <c r="C79" i="6"/>
  <c r="A79" i="6" s="1"/>
  <c r="C73" i="6"/>
  <c r="A73" i="6" s="1"/>
  <c r="C69" i="6"/>
  <c r="A69" i="6" s="1"/>
  <c r="C64" i="6"/>
  <c r="A64" i="6" s="1"/>
  <c r="C60" i="6"/>
  <c r="A60" i="6" s="1"/>
  <c r="C136" i="6"/>
  <c r="A136" i="6" s="1"/>
  <c r="C117" i="6"/>
  <c r="A117" i="6" s="1"/>
  <c r="C96" i="6"/>
  <c r="A96" i="6" s="1"/>
  <c r="C82" i="6"/>
  <c r="A82" i="6" s="1"/>
  <c r="C67" i="6"/>
  <c r="A67" i="6" s="1"/>
  <c r="C153" i="6"/>
  <c r="A153" i="6" s="1"/>
  <c r="C149" i="6"/>
  <c r="A149" i="6" s="1"/>
  <c r="C143" i="6"/>
  <c r="A143" i="6" s="1"/>
  <c r="C137" i="6"/>
  <c r="A137" i="6" s="1"/>
  <c r="C133" i="6"/>
  <c r="A133" i="6" s="1"/>
  <c r="C128" i="6"/>
  <c r="A128" i="6" s="1"/>
  <c r="C124" i="6"/>
  <c r="A124" i="6" s="1"/>
  <c r="C118" i="6"/>
  <c r="A118" i="6" s="1"/>
  <c r="C112" i="6"/>
  <c r="A112" i="6" s="1"/>
  <c r="C106" i="6"/>
  <c r="A106" i="6" s="1"/>
  <c r="C102" i="6"/>
  <c r="A102" i="6" s="1"/>
  <c r="C97" i="6"/>
  <c r="A97" i="6" s="1"/>
  <c r="C93" i="6"/>
  <c r="A93" i="6" s="1"/>
  <c r="C87" i="6"/>
  <c r="C83" i="6"/>
  <c r="A83" i="6" s="1"/>
  <c r="C78" i="6"/>
  <c r="A78" i="6" s="1"/>
  <c r="C72" i="6"/>
  <c r="A72" i="6" s="1"/>
  <c r="C68" i="6"/>
  <c r="A68" i="6" s="1"/>
  <c r="C63" i="6"/>
  <c r="A63" i="6" s="1"/>
  <c r="C59" i="6"/>
  <c r="A59" i="6" s="1"/>
  <c r="C152" i="6"/>
  <c r="A152" i="6" s="1"/>
  <c r="C140" i="6"/>
  <c r="A140" i="6" s="1"/>
  <c r="C129" i="6"/>
  <c r="A129" i="6" s="1"/>
  <c r="C111" i="6"/>
  <c r="A111" i="6" s="1"/>
  <c r="C101" i="6"/>
  <c r="A101" i="6" s="1"/>
  <c r="C86" i="6"/>
  <c r="C77" i="6"/>
  <c r="A77" i="6" s="1"/>
  <c r="C62" i="6"/>
  <c r="A62" i="6" s="1"/>
  <c r="C46" i="6"/>
  <c r="A46" i="6" s="1"/>
  <c r="C7" i="6"/>
  <c r="A7" i="6" s="1"/>
  <c r="C22" i="6"/>
  <c r="A22" i="6" s="1"/>
  <c r="C51" i="6"/>
  <c r="A51" i="6" s="1"/>
  <c r="C37" i="6"/>
  <c r="A37" i="6" s="1"/>
  <c r="C20" i="6"/>
  <c r="A20" i="6" s="1"/>
  <c r="C33" i="6"/>
  <c r="A33" i="6" s="1"/>
  <c r="C27" i="6"/>
  <c r="A27" i="6" s="1"/>
  <c r="C47" i="6"/>
  <c r="A47" i="6" s="1"/>
  <c r="C17" i="6"/>
  <c r="A17" i="6" s="1"/>
  <c r="C42" i="6"/>
  <c r="A42" i="6" s="1"/>
  <c r="C31" i="6"/>
  <c r="A31" i="6" s="1"/>
  <c r="C25" i="6"/>
  <c r="A25" i="6" s="1"/>
  <c r="C12" i="6"/>
  <c r="A12" i="6" s="1"/>
  <c r="C40" i="6"/>
  <c r="A40" i="6" s="1"/>
  <c r="C28" i="6"/>
  <c r="A28" i="6" s="1"/>
  <c r="C6" i="6"/>
  <c r="A6" i="6" s="1"/>
  <c r="C24" i="6"/>
  <c r="A24" i="6" s="1"/>
  <c r="C18" i="6"/>
  <c r="A18" i="6" s="1"/>
  <c r="C11" i="6"/>
  <c r="A11" i="6" s="1"/>
  <c r="C50" i="6"/>
  <c r="A50" i="6" s="1"/>
  <c r="C38" i="6"/>
  <c r="A38" i="6" s="1"/>
  <c r="C32" i="6"/>
  <c r="A32" i="6" s="1"/>
  <c r="C45" i="6"/>
  <c r="A45" i="6" s="1"/>
  <c r="C10" i="6"/>
  <c r="A10" i="6" s="1"/>
  <c r="C21" i="6"/>
  <c r="A21" i="6" s="1"/>
  <c r="C15" i="6"/>
  <c r="A15" i="6" s="1"/>
  <c r="C52" i="6"/>
  <c r="A52" i="6" s="1"/>
  <c r="C41" i="6"/>
  <c r="A41" i="6" s="1"/>
  <c r="C36" i="6"/>
  <c r="A36" i="6" s="1"/>
  <c r="C29" i="6"/>
  <c r="A29" i="6" s="1"/>
  <c r="C48" i="6"/>
  <c r="A48" i="6" s="1"/>
  <c r="C9" i="6"/>
  <c r="A9" i="6" s="1"/>
  <c r="C23" i="6"/>
  <c r="A23" i="6" s="1"/>
  <c r="C19" i="6"/>
  <c r="A19" i="6" s="1"/>
  <c r="C14" i="6"/>
  <c r="A14" i="6" s="1"/>
  <c r="C53" i="6"/>
  <c r="A53" i="6" s="1"/>
  <c r="C43" i="6"/>
  <c r="A43" i="6" s="1"/>
  <c r="C39" i="6"/>
  <c r="A39" i="6" s="1"/>
  <c r="C34" i="6"/>
  <c r="A34" i="6" s="1"/>
  <c r="C30" i="6"/>
  <c r="A30" i="6" s="1"/>
  <c r="D83" i="5"/>
  <c r="E83" i="5" s="1"/>
  <c r="D85" i="5"/>
  <c r="E85" i="5" s="1"/>
  <c r="D79" i="5"/>
  <c r="E79" i="5" s="1"/>
  <c r="D47" i="5"/>
  <c r="E47" i="5" s="1"/>
  <c r="D71" i="5"/>
  <c r="E71" i="5" s="1"/>
  <c r="D39" i="5"/>
  <c r="E39" i="5" s="1"/>
  <c r="D63" i="5"/>
  <c r="E63" i="5" s="1"/>
  <c r="D31" i="5"/>
  <c r="E31" i="5" s="1"/>
  <c r="D55" i="5"/>
  <c r="E55" i="5" s="1"/>
  <c r="D23" i="5"/>
  <c r="E23" i="5" s="1"/>
  <c r="D75" i="5"/>
  <c r="E75" i="5" s="1"/>
  <c r="D67" i="5"/>
  <c r="E67" i="5" s="1"/>
  <c r="D59" i="5"/>
  <c r="E59" i="5" s="1"/>
  <c r="D51" i="5"/>
  <c r="E51" i="5" s="1"/>
  <c r="D43" i="5"/>
  <c r="E43" i="5" s="1"/>
  <c r="D35" i="5"/>
  <c r="E35" i="5" s="1"/>
  <c r="D27" i="5"/>
  <c r="E27" i="5" s="1"/>
  <c r="D81" i="5"/>
  <c r="E81" i="5" s="1"/>
  <c r="D73" i="5"/>
  <c r="E73" i="5" s="1"/>
  <c r="D65" i="5"/>
  <c r="E65" i="5" s="1"/>
  <c r="D57" i="5"/>
  <c r="E57" i="5" s="1"/>
  <c r="D49" i="5"/>
  <c r="E49" i="5" s="1"/>
  <c r="D41" i="5"/>
  <c r="E41" i="5" s="1"/>
  <c r="D33" i="5"/>
  <c r="E33" i="5" s="1"/>
  <c r="D25" i="5"/>
  <c r="E25" i="5" s="1"/>
  <c r="D77" i="5"/>
  <c r="E77" i="5" s="1"/>
  <c r="D69" i="5"/>
  <c r="E69" i="5" s="1"/>
  <c r="D61" i="5"/>
  <c r="E61" i="5" s="1"/>
  <c r="D53" i="5"/>
  <c r="E53" i="5" s="1"/>
  <c r="D45" i="5"/>
  <c r="E45" i="5" s="1"/>
  <c r="D37" i="5"/>
  <c r="E37" i="5" s="1"/>
  <c r="D29" i="5"/>
  <c r="E29" i="5" s="1"/>
  <c r="D21" i="5"/>
  <c r="E21" i="5" s="1"/>
  <c r="D15" i="5"/>
  <c r="E15" i="5" s="1"/>
  <c r="D19" i="5"/>
  <c r="E19" i="5" s="1"/>
  <c r="D13" i="5"/>
  <c r="E13" i="5" s="1"/>
  <c r="D17" i="5"/>
  <c r="E17" i="5" s="1"/>
  <c r="D9" i="5"/>
  <c r="F8" i="5" s="1"/>
  <c r="E2" i="5"/>
  <c r="F2" i="5"/>
  <c r="F33" i="4"/>
  <c r="F9" i="4"/>
  <c r="F15" i="4"/>
  <c r="F39" i="4"/>
  <c r="F27" i="4"/>
  <c r="D154" i="6" l="1"/>
  <c r="A154" i="6" s="1"/>
  <c r="D222" i="6"/>
  <c r="A222" i="6" s="1"/>
  <c r="D188" i="6"/>
  <c r="A188" i="6" s="1"/>
  <c r="D120" i="6"/>
  <c r="A120" i="6" s="1"/>
  <c r="D86" i="6"/>
  <c r="A86" i="6" s="1"/>
  <c r="C26" i="6"/>
  <c r="A26" i="6" s="1"/>
  <c r="E6" i="5"/>
  <c r="F21" i="4"/>
  <c r="K4" i="4" s="1"/>
</calcChain>
</file>

<file path=xl/sharedStrings.xml><?xml version="1.0" encoding="utf-8"?>
<sst xmlns="http://schemas.openxmlformats.org/spreadsheetml/2006/main" count="3668" uniqueCount="1447">
  <si>
    <t>45口径3年式12cm单装炮</t>
  </si>
  <si>
    <t>50口径3年式12.7cm连装炮</t>
  </si>
  <si>
    <t>65口径98式10cm连装高角炮</t>
  </si>
  <si>
    <t>50口径3年式14cm单装炮</t>
  </si>
  <si>
    <t>60口径3年式15.5cm三连装炮</t>
  </si>
  <si>
    <t>50口径3年式20.3cm连装炮</t>
  </si>
  <si>
    <t>45口径41式35.6cm连装炮</t>
  </si>
  <si>
    <t>45口径3年式41cm连装炮</t>
  </si>
  <si>
    <t>45口径94式46cm三连装炮</t>
  </si>
  <si>
    <t>40口径89式12.7cm连装高角炮</t>
  </si>
  <si>
    <t>50口径41式15.2cm单装炮</t>
  </si>
  <si>
    <t>60口径3年式15.5cm三连装副炮</t>
  </si>
  <si>
    <t>61cm三连装鱼雷</t>
  </si>
  <si>
    <t>61cm四连装鱼雷</t>
  </si>
  <si>
    <t>61cm四连装酸素鱼雷</t>
  </si>
  <si>
    <t>九七式舰攻</t>
  </si>
  <si>
    <t>天山</t>
  </si>
  <si>
    <t>流星</t>
  </si>
  <si>
    <t>九六式舰战</t>
  </si>
  <si>
    <t>零式舰战21型</t>
  </si>
  <si>
    <t>零式舰战52型</t>
  </si>
  <si>
    <t>烈风</t>
  </si>
  <si>
    <t>九九式舰爆</t>
  </si>
  <si>
    <t>彗星</t>
  </si>
  <si>
    <t>零式水上侦察机11型</t>
  </si>
  <si>
    <t>瑞云11型</t>
  </si>
  <si>
    <t>13号对空电探</t>
  </si>
  <si>
    <t>22号对水上电探</t>
  </si>
  <si>
    <t>33号对水上电探</t>
  </si>
  <si>
    <t>21号对空电探</t>
  </si>
  <si>
    <t>32号对水上电探</t>
  </si>
  <si>
    <t>14号对空电探</t>
  </si>
  <si>
    <t>改良型舰本式涡轮</t>
  </si>
  <si>
    <t>强化型ロ号舰本式锅炉</t>
  </si>
  <si>
    <t>三式弹</t>
  </si>
  <si>
    <t>九一式穿甲弹</t>
  </si>
  <si>
    <t>92式7.7mm机枪</t>
  </si>
  <si>
    <t>毘式12.7mm单装机枪</t>
  </si>
  <si>
    <t>96式25mm连装机枪</t>
  </si>
  <si>
    <t>96式25mm三连装机枪</t>
  </si>
  <si>
    <t>甲标的 甲型</t>
  </si>
  <si>
    <t>应急修理要员</t>
  </si>
  <si>
    <t>应急修理女神</t>
  </si>
  <si>
    <t>九四式爆雷投射机</t>
  </si>
  <si>
    <t>三式爆雷投射机</t>
  </si>
  <si>
    <t>九三式水中听音机</t>
  </si>
  <si>
    <t>三式水中探信仪</t>
  </si>
  <si>
    <t>45口径10年式12.7cm单装高角炮</t>
  </si>
  <si>
    <t>96式25mm单装机枪</t>
  </si>
  <si>
    <t>50口径3年式20.3cm(3号)连装炮</t>
  </si>
  <si>
    <t>12cm30连装喷进炮</t>
  </si>
  <si>
    <t>流星改</t>
  </si>
  <si>
    <t>烈风改</t>
  </si>
  <si>
    <t>彩云</t>
  </si>
  <si>
    <t>紫电改二</t>
  </si>
  <si>
    <t>震电改</t>
  </si>
  <si>
    <t>彗星一二型甲</t>
  </si>
  <si>
    <t>61cm五连装酸素鱼雷</t>
  </si>
  <si>
    <t>零式水上观测机</t>
  </si>
  <si>
    <t>零式舰战62型(爆战)</t>
  </si>
  <si>
    <t>二式舰上侦察机</t>
  </si>
  <si>
    <t>试制晴岚</t>
  </si>
  <si>
    <t>50口径3年式12.7cm连装炮B型改二</t>
  </si>
  <si>
    <t>Ju87C改</t>
  </si>
  <si>
    <t>50口径41式15.2cm连装炮</t>
  </si>
  <si>
    <t>60口径98式8cm连装高角炮</t>
  </si>
  <si>
    <t>53cm舰首酸素鱼雷</t>
  </si>
  <si>
    <t>大发动艇</t>
  </si>
  <si>
    <t>三式指挥联络机(对潜)</t>
  </si>
  <si>
    <t>65口径98式10cm连装高角炮(炮架)</t>
  </si>
  <si>
    <t>增设突出部(中型舰)</t>
  </si>
  <si>
    <t>增设突出部(大型舰)</t>
  </si>
  <si>
    <t>探照灯</t>
  </si>
  <si>
    <t>油桶（运输用）</t>
  </si>
  <si>
    <t>38cm SK C/34 L/47 连装炮</t>
  </si>
  <si>
    <t>15cm SK C/28 L/55 连装副炮</t>
  </si>
  <si>
    <t>12.7cm SK C/34 L/45 单装炮</t>
  </si>
  <si>
    <t>瑞云11型(六三四空)</t>
  </si>
  <si>
    <t>瑞云12型</t>
  </si>
  <si>
    <t>瑞云12型(六三四空)</t>
  </si>
  <si>
    <t>九七式舰攻(九三一空)</t>
  </si>
  <si>
    <t>天山(九三一空)</t>
  </si>
  <si>
    <t>2cm四连装FlaK 38</t>
  </si>
  <si>
    <t>3.7cm FlaK M42</t>
  </si>
  <si>
    <t>舰艇修理设施</t>
  </si>
  <si>
    <t>新型高温高压ロ号锅炉</t>
  </si>
  <si>
    <t>22号对水上电探改四</t>
  </si>
  <si>
    <t>21号对空电探改</t>
  </si>
  <si>
    <t>50口径3年式20.3cm(2号)连装炮</t>
  </si>
  <si>
    <t>40口径89式12.7cm连装高角炮B1型</t>
  </si>
  <si>
    <t>毘式40mm连装机枪</t>
  </si>
  <si>
    <t>九七式舰攻(友永队)</t>
  </si>
  <si>
    <t>天山一二型(友永队)</t>
  </si>
  <si>
    <t>潜水艇53cm舰首鱼雷</t>
  </si>
  <si>
    <t>零式舰战21型(熟练)</t>
  </si>
  <si>
    <t>九九式舰爆(熟练)</t>
  </si>
  <si>
    <t>九七式舰攻(熟练)</t>
  </si>
  <si>
    <t>九九式舰爆(江草队)</t>
  </si>
  <si>
    <t>彗星(江草队)</t>
  </si>
  <si>
    <t>照明弹</t>
  </si>
  <si>
    <t>九八式水上侦察机</t>
  </si>
  <si>
    <t>试制50口径96式35.6cm三连装炮</t>
  </si>
  <si>
    <t>45口径41式35.6cm连装炮（眩晕迷彩）</t>
  </si>
  <si>
    <t>试制45口径3年式41cm三连装炮</t>
  </si>
  <si>
    <t>13号对空电探改</t>
  </si>
  <si>
    <t>舰队司令部设施</t>
  </si>
  <si>
    <t>熟练舰载机维修员</t>
  </si>
  <si>
    <t>零式舰战52型丙(六〇一空)</t>
  </si>
  <si>
    <t>烈风(六〇一空)</t>
  </si>
  <si>
    <t>彗星(六〇一空)</t>
  </si>
  <si>
    <t>天山(六〇一空)</t>
  </si>
  <si>
    <t>流星(六〇一空)</t>
  </si>
  <si>
    <t>38cm SK C/34 L/47 连装炮改</t>
  </si>
  <si>
    <t>Ar196改</t>
  </si>
  <si>
    <t>一式穿甲弹</t>
  </si>
  <si>
    <t>试制45口径94式46cm连装炮</t>
  </si>
  <si>
    <t>紫云</t>
  </si>
  <si>
    <t>50口径3年式14cm连装炮</t>
  </si>
  <si>
    <t>91式高射装置</t>
  </si>
  <si>
    <t>94式高射装置</t>
  </si>
  <si>
    <t>65口径98式10cm高角炮＋高射装置</t>
  </si>
  <si>
    <t>20.3cm SK C/34 L/60 连装炮</t>
  </si>
  <si>
    <t>FuMO25雷达</t>
  </si>
  <si>
    <t>61cm三连装酸素鱼雷</t>
  </si>
  <si>
    <t>Wurfgerät 42</t>
  </si>
  <si>
    <t>试制FaT仕様九五式酸素鱼雷改</t>
  </si>
  <si>
    <t>试制50口径51cm连装炮</t>
  </si>
  <si>
    <t>熟练见张员</t>
  </si>
  <si>
    <t>40口径89式12.7cm高角炮＋高射装置</t>
  </si>
  <si>
    <t>96式25mm三连装机枪 集中配备</t>
  </si>
  <si>
    <t>零式水中听音机</t>
  </si>
  <si>
    <t>OTO/Ansaldo 381mm/50 Mod.1934 三连装炮</t>
  </si>
  <si>
    <t>OTO 152mm/55 Mod.1936 三连装速射炮</t>
  </si>
  <si>
    <t>OTO/Ansaldo 90mm/50 Mod.1939 単装高角炮</t>
  </si>
  <si>
    <t>普列塞水下防护系统</t>
  </si>
  <si>
    <t>OTO/Ansaldo 381mm/50 Mod.1934 三连装炮改</t>
  </si>
  <si>
    <t>二式大艇</t>
  </si>
  <si>
    <t>50口径41式15.2cm连装炮改</t>
  </si>
  <si>
    <t>96式150cm探照灯</t>
  </si>
  <si>
    <t>32号対水上电探改</t>
  </si>
  <si>
    <t>15m二重测距仪+21号电探改二</t>
  </si>
  <si>
    <t>九七式舰攻(村田队)</t>
  </si>
  <si>
    <t>天山(村田队)</t>
  </si>
  <si>
    <t>战斗粮食</t>
  </si>
  <si>
    <t>洋上补给</t>
  </si>
  <si>
    <t>OTO 120mm/50 Mod.1931 连装炮</t>
  </si>
  <si>
    <t>试制南山</t>
  </si>
  <si>
    <t>四式水中听音机</t>
  </si>
  <si>
    <t>秋刀鱼罐头</t>
  </si>
  <si>
    <t>試制景云(舰侦型)</t>
  </si>
  <si>
    <t>零战52型(熟练)</t>
  </si>
  <si>
    <t>零战52型丙(付岩井小队)</t>
  </si>
  <si>
    <t>零战62型(爆战/岩井队)</t>
  </si>
  <si>
    <t>零战21型(付岩本小队)</t>
  </si>
  <si>
    <t>零战52型甲(付岩本小队)</t>
  </si>
  <si>
    <t>零战53型(岩本队)</t>
  </si>
  <si>
    <t>Bf109T改</t>
  </si>
  <si>
    <t>Fw190T改</t>
  </si>
  <si>
    <t>10.5cm SK C/33 L/65 FlaK连装炮</t>
  </si>
  <si>
    <t>16”/50 Mk7 三连装炮</t>
  </si>
  <si>
    <t>Ansaldo 203mm/53 Mod.1927 连装炮</t>
  </si>
  <si>
    <t>Ro.43水侦</t>
  </si>
  <si>
    <t>Ro.44水上战斗机</t>
  </si>
  <si>
    <t>二式水战改</t>
  </si>
  <si>
    <t>大发动艇 (八九式中战车＆陆战队)</t>
  </si>
  <si>
    <t>特二式内火艇</t>
  </si>
  <si>
    <t>九六式陆攻</t>
  </si>
  <si>
    <t>一式陆攻</t>
  </si>
  <si>
    <t>一式陆攻（野中队）</t>
  </si>
  <si>
    <t>OS2U-3翠鸟</t>
  </si>
  <si>
    <t>5”/38 Mk12 连装平高两用炮 Mk.28 mod.2</t>
  </si>
  <si>
    <t>Bofors 40mm四连装机关炮</t>
  </si>
  <si>
    <t>53cm连装鱼雷</t>
  </si>
  <si>
    <t>雷电</t>
  </si>
  <si>
    <t>三式战 飞燕</t>
  </si>
  <si>
    <t>三式战 飞燕（飞行第244战队）</t>
  </si>
  <si>
    <t>PBY-5A Catalina</t>
  </si>
  <si>
    <t>试制61cm六连装酸素鱼雷</t>
  </si>
  <si>
    <t>一式陆攻 二二型甲</t>
  </si>
  <si>
    <t>零式舰战32型</t>
  </si>
  <si>
    <t>零式舰战32型(熟练)</t>
  </si>
  <si>
    <t>16”/50 Mk7 三连装炮＋GFCS</t>
  </si>
  <si>
    <t>Re.2001 OR改</t>
  </si>
  <si>
    <t>三式战 飞燕一型丁</t>
  </si>
  <si>
    <t>一式陆攻 三四型</t>
  </si>
  <si>
    <t>银河</t>
  </si>
  <si>
    <t>Re.2001 G改</t>
  </si>
  <si>
    <t>Re.2005 改</t>
  </si>
  <si>
    <t>15”/42 BL MK.I 连装炮</t>
  </si>
  <si>
    <t>2pd. QF八连装砰砰炮</t>
  </si>
  <si>
    <t>15”/42 BL Mk.I/N 连装炮改</t>
  </si>
  <si>
    <t>特大发动艇</t>
  </si>
  <si>
    <t>Late 298B</t>
  </si>
  <si>
    <t>SBD-3无畏</t>
  </si>
  <si>
    <t>TBD蹂躏者</t>
  </si>
  <si>
    <t>F4F-3野猫</t>
  </si>
  <si>
    <t>F4F-4野猫</t>
  </si>
  <si>
    <t>景云改</t>
  </si>
  <si>
    <t>橘花改</t>
  </si>
  <si>
    <t>舰本新设计 增设突出部(中型舰)</t>
  </si>
  <si>
    <t>舰本新设计 增设突出部(大型舰)</t>
  </si>
  <si>
    <t>F6F-3地狱猫</t>
  </si>
  <si>
    <t>F6F-5地狱猫</t>
  </si>
  <si>
    <t>瑞云11型(六三一空)</t>
  </si>
  <si>
    <t>晴岚(六三一空)</t>
  </si>
  <si>
    <t>潜水艇用电探&amp;防水望远镜</t>
  </si>
  <si>
    <t>潜水艇用电探&amp;逆探(E27)</t>
  </si>
  <si>
    <t>彩云(东加洛林空)</t>
  </si>
  <si>
    <t>后期型舰首鱼雷(6门)</t>
  </si>
  <si>
    <t>后期型舰首鱼雷(6门) + 熟练听音员</t>
  </si>
  <si>
    <t>Ro.44水上战斗机bis</t>
  </si>
  <si>
    <t>二式水战改(熟练)</t>
  </si>
  <si>
    <t>强风改</t>
  </si>
  <si>
    <t>零式舰战63型(爆战)</t>
  </si>
  <si>
    <t>60口径98式8cm连装高角炮改+增设机枪</t>
  </si>
  <si>
    <t>一式战 隼Ⅱ型</t>
  </si>
  <si>
    <t>一式战 隼Ⅲ型甲</t>
  </si>
  <si>
    <t>一式战 隼Ⅲ型甲（54战队）</t>
  </si>
  <si>
    <t>爆装一式战 隼III型改（55战队）</t>
  </si>
  <si>
    <t>一式战 隼Ⅱ型（64战队）</t>
  </si>
  <si>
    <t>九五式爆雷</t>
  </si>
  <si>
    <t>二式爆雷</t>
  </si>
  <si>
    <t>九六式舰战改</t>
  </si>
  <si>
    <t>40口径89式12.7cm单装高角炮B1型改4</t>
  </si>
  <si>
    <t>特大发动艇+战车第11连队</t>
  </si>
  <si>
    <t>305mm/52 Pattern 1907 三连装炮</t>
  </si>
  <si>
    <t>305mm/52 Pattern 1907 三连装炮改+增设高角炮</t>
  </si>
  <si>
    <t>F4U-1D海盗(爆战)</t>
  </si>
  <si>
    <t>60口径3年式15.5cm三连装副炮改</t>
  </si>
  <si>
    <t>60口径3年式15.5cm三连装炮改</t>
  </si>
  <si>
    <t>45口径3年式41cm三连装炮改</t>
  </si>
  <si>
    <t>瑞云11型(六三四空/熟练)</t>
  </si>
  <si>
    <t>零式水上侦察机11型乙</t>
  </si>
  <si>
    <t>战斗粮食（特别饭团）</t>
  </si>
  <si>
    <t>5inch单装炮</t>
  </si>
  <si>
    <t>5inch连装炮</t>
  </si>
  <si>
    <t>3inch单装高角炮</t>
  </si>
  <si>
    <t>5inch单装高射炮</t>
  </si>
  <si>
    <t>8inch三连装炮</t>
  </si>
  <si>
    <t>6inch连装速射炮</t>
  </si>
  <si>
    <t>14inch连装炮</t>
  </si>
  <si>
    <t>16inch连装炮</t>
  </si>
  <si>
    <t>16inch三连装炮</t>
  </si>
  <si>
    <t>6inch单装炮</t>
  </si>
  <si>
    <t>5inch连装副炮</t>
  </si>
  <si>
    <t>21inch鱼雷前期型</t>
  </si>
  <si>
    <t>21inch鱼雷后期型</t>
  </si>
  <si>
    <t>高速深海鱼雷</t>
  </si>
  <si>
    <t>深海栖舰攻</t>
  </si>
  <si>
    <t>深海栖舰攻 Mark.II</t>
  </si>
  <si>
    <t>深海栖舰攻 Mark.III</t>
  </si>
  <si>
    <t>深海栖舰战</t>
  </si>
  <si>
    <t>深海栖舰战 Mark.II</t>
  </si>
  <si>
    <t>深海栖舰战 Mark.III</t>
  </si>
  <si>
    <t>飞鱼舰战</t>
  </si>
  <si>
    <t>深海栖舰爆</t>
  </si>
  <si>
    <t>深海栖舰爆 Mark.II</t>
  </si>
  <si>
    <t>深海栖舰侦察机</t>
  </si>
  <si>
    <t>飞鱼侦察机</t>
  </si>
  <si>
    <t>对空雷达 Mark.I</t>
  </si>
  <si>
    <t>水上雷达 Mark.I</t>
  </si>
  <si>
    <t>水上雷达 Mark.II</t>
  </si>
  <si>
    <t>对空雷达 Mark.II</t>
  </si>
  <si>
    <t>深海水上雷达</t>
  </si>
  <si>
    <t>深海对空雷达</t>
  </si>
  <si>
    <t>改良型深海涡轮</t>
  </si>
  <si>
    <t>强化型深海锅炉</t>
  </si>
  <si>
    <t>对空霰弹</t>
  </si>
  <si>
    <t>劣化彻甲弹</t>
  </si>
  <si>
    <t>12.7mm机铳</t>
  </si>
  <si>
    <t>20mm机铳</t>
  </si>
  <si>
    <t>40mm二连装机关炮</t>
  </si>
  <si>
    <t>40mm四连装机关炮</t>
  </si>
  <si>
    <t>深海乌贼鱼雷</t>
  </si>
  <si>
    <t>深海爆雷投射机</t>
  </si>
  <si>
    <t>深海声呐</t>
  </si>
  <si>
    <t>深海爆雷投射机 Mk.II</t>
  </si>
  <si>
    <t>深海声呐 Mk.II</t>
  </si>
  <si>
    <t>飞鱼舰爆</t>
  </si>
  <si>
    <t>深海猫舰战</t>
  </si>
  <si>
    <t>深海地狱舰爆</t>
  </si>
  <si>
    <t>深海复仇舰攻</t>
  </si>
  <si>
    <t>5inch连装两用荚炮</t>
  </si>
  <si>
    <t>20inch连装炮</t>
  </si>
  <si>
    <t>15inch要塞炮</t>
  </si>
  <si>
    <t>4inch连装两用炮+CIC</t>
  </si>
  <si>
    <t>深海水上攻击机</t>
  </si>
  <si>
    <t>深海水上攻击机改</t>
  </si>
  <si>
    <t>深海猫舰战改</t>
  </si>
  <si>
    <t>深海地狱舰爆改</t>
  </si>
  <si>
    <t>深海复仇舰攻改</t>
  </si>
  <si>
    <t>深海FCS+CIC</t>
  </si>
  <si>
    <t>深海探照灯</t>
  </si>
  <si>
    <t>深海解放陆爆</t>
  </si>
  <si>
    <t>深海解放陆爆Ace</t>
  </si>
  <si>
    <t>8inch长射程连装炮</t>
  </si>
  <si>
    <t>深海水上侦察观测机</t>
  </si>
  <si>
    <t>5inch沿岸设置炮</t>
  </si>
  <si>
    <t>深海猫舰战(爆装)</t>
  </si>
  <si>
    <t>沿岸设置雷达</t>
  </si>
  <si>
    <t>16inch三连装炮(新型)</t>
  </si>
  <si>
    <t>深海侦察飞行艇</t>
  </si>
  <si>
    <t>高速深海鱼雷 mod.2</t>
  </si>
  <si>
    <t>深海水母小鬼機</t>
  </si>
  <si>
    <t>深海熊貓艦戰</t>
  </si>
  <si>
    <t>深海潜艇用双浮筒水上机</t>
  </si>
  <si>
    <t>深海攻击哨戒鹰</t>
  </si>
  <si>
    <t>深海攻击哨戒鹰改</t>
  </si>
  <si>
    <t>深海12inch三连装炮</t>
  </si>
  <si>
    <t>增设突出部(小型舰)</t>
  </si>
  <si>
    <t>发烟筒</t>
  </si>
  <si>
    <t>VT引信炮弹</t>
  </si>
  <si>
    <t>超重弹</t>
  </si>
  <si>
    <t>柴油机</t>
  </si>
  <si>
    <t>射击钟</t>
  </si>
  <si>
    <t>金块箱</t>
  </si>
  <si>
    <t>铁锚</t>
  </si>
  <si>
    <t>意式餐具套装</t>
  </si>
  <si>
    <t>极密货物</t>
  </si>
  <si>
    <t>凶猛的大老虎</t>
  </si>
  <si>
    <t>奥斯卡</t>
  </si>
  <si>
    <t>生姜&amp;鱼饼</t>
  </si>
  <si>
    <t>一袋土豆</t>
  </si>
  <si>
    <t>长枪</t>
  </si>
  <si>
    <t>指挥刀</t>
  </si>
  <si>
    <t>打刀</t>
  </si>
  <si>
    <t>合金爪</t>
  </si>
  <si>
    <t>机械使魔</t>
  </si>
  <si>
    <t>15cm TbtsK C/36 L/48 单装炮</t>
  </si>
  <si>
    <t>15cm SK C/36 L/48 连装炮</t>
  </si>
  <si>
    <t>4”/45 QF HA MK.XVI 连装炮</t>
  </si>
  <si>
    <t>4.7”/50 QF MK.XI 连装炮</t>
  </si>
  <si>
    <t>5”/38 Mk12 连装平高两用炮 Mk.38</t>
  </si>
  <si>
    <t>5”/38 Mk12 单装平高两用炮 Mk.30</t>
  </si>
  <si>
    <t>138mm/50 modèle 1929 单装炮</t>
  </si>
  <si>
    <t>130mm/50 Б-13 单装炮</t>
  </si>
  <si>
    <t>15cm SK C/25 L/60 三连装炮</t>
  </si>
  <si>
    <t>5.25”/50 QF MK.I 连装炮</t>
  </si>
  <si>
    <t>6”/50 BL Mk.XXIII 连装炮</t>
  </si>
  <si>
    <t>6”/47 Mk16 三连装炮</t>
  </si>
  <si>
    <t>8”/55 Mk14 三连装炮</t>
  </si>
  <si>
    <t>C-101反舰导弹</t>
  </si>
  <si>
    <t>28cm SK C/34 L/54.5 三连装炮</t>
  </si>
  <si>
    <t>40.6cm SK C/34 L/52 连装炮</t>
  </si>
  <si>
    <t>53cm Gerät 36 L/52 连装炮</t>
  </si>
  <si>
    <t>16”/45 BL Mk.I 三连装炮</t>
  </si>
  <si>
    <t>14”/45 BL Mk.VII 四连装炮</t>
  </si>
  <si>
    <t>12”/50 Mk8 三连装炮</t>
  </si>
  <si>
    <t>14”/50 Mk4 三连装炮</t>
  </si>
  <si>
    <t>16”/45 Mk6 三连装炮</t>
  </si>
  <si>
    <t>Vickers 305mm/46 Mod.1909G 三连装炮</t>
  </si>
  <si>
    <t>企鹅反舰导弹</t>
  </si>
  <si>
    <t>4”/45 QF MK.V 单装炮</t>
  </si>
  <si>
    <t>5”/38 Mk12 连装炮 Mk.22</t>
  </si>
  <si>
    <t>2pd. QF 四连装砰砰炮</t>
  </si>
  <si>
    <t>37mm modèle 1935 四连装炮</t>
  </si>
  <si>
    <t>Oerlikon 20mm连装机枪</t>
  </si>
  <si>
    <t>3”/50 Mk22 连装防空炮</t>
  </si>
  <si>
    <t>Bofors 40mm二连装机关炮</t>
  </si>
  <si>
    <t>FuMB雷达告警装置</t>
  </si>
  <si>
    <t>1.1”/75 四连装炮</t>
  </si>
  <si>
    <t>BF109T</t>
  </si>
  <si>
    <t>海毒牙MK.31</t>
  </si>
  <si>
    <t>F2A-1水牛</t>
  </si>
  <si>
    <t>九七式舰攻（80番）</t>
  </si>
  <si>
    <t>F4U-1D海盗</t>
  </si>
  <si>
    <t>Ju-87C斯图卡</t>
  </si>
  <si>
    <t>贼鸥</t>
  </si>
  <si>
    <t>海燕</t>
  </si>
  <si>
    <t>复仇者</t>
  </si>
  <si>
    <t>BTD-1毁灭者</t>
  </si>
  <si>
    <t>RE.2001 CB</t>
  </si>
  <si>
    <t>梭鱼</t>
  </si>
  <si>
    <t>TBF复仇者</t>
  </si>
  <si>
    <t>海水獭</t>
  </si>
  <si>
    <t>海象式</t>
  </si>
  <si>
    <t>Type 271 对海雷达</t>
  </si>
  <si>
    <t>SG对海雷达</t>
  </si>
  <si>
    <t>21”三连装鱼雷</t>
  </si>
  <si>
    <t>21”四连装鱼雷</t>
  </si>
  <si>
    <t>21”五连装鱼雷</t>
  </si>
  <si>
    <t>Ar196</t>
  </si>
  <si>
    <t>4”/45 BL Mk.IX 三连装炮</t>
  </si>
  <si>
    <t>4.5”/45 QF Mk.III/BD Mk.II 连装炮</t>
  </si>
  <si>
    <t>380mm/45 Modèle 1935 四连装炮</t>
  </si>
  <si>
    <t>380mm/45 Modèle 1935 四连装炮(炸膛)</t>
  </si>
  <si>
    <t>G7a 533mm四连装磁性鱼雷</t>
  </si>
  <si>
    <t>乌贼深弹投射器</t>
  </si>
  <si>
    <t>捕鼠器深弹投射器</t>
  </si>
  <si>
    <t>刺猬弹深弹投射器</t>
  </si>
  <si>
    <t>Parsons or Rateau 发动机</t>
  </si>
  <si>
    <t>6”/50 BL Mk.XXIII 三连装炮</t>
  </si>
  <si>
    <t>8”/50 BL Mk.VIII 连装炮</t>
  </si>
  <si>
    <t>Z字旗</t>
  </si>
  <si>
    <t>试制15”/42 BL Mk.I 三连装炮</t>
  </si>
  <si>
    <t>16”/45 Mk1 连装炮</t>
  </si>
  <si>
    <t>B-25B(杜立特队)</t>
  </si>
  <si>
    <t>流星（爆装）</t>
  </si>
  <si>
    <t>XF5U飞行圆饼</t>
  </si>
  <si>
    <t>剑鱼Mk.Ⅲ</t>
  </si>
  <si>
    <t>SB2C地狱俯冲者</t>
  </si>
  <si>
    <t>F7F-4虎猫</t>
  </si>
  <si>
    <t>XTB2D空中海盗</t>
  </si>
  <si>
    <t>TALIEDO STIPA</t>
  </si>
  <si>
    <t>61cm五连装鱼雷</t>
  </si>
  <si>
    <t>G7e 533mm磁性鱼雷(潜艇)</t>
  </si>
  <si>
    <t>21” Mk14 鱼雷(潜艇)</t>
  </si>
  <si>
    <t>Bofors 40mm六连装机关炮</t>
  </si>
  <si>
    <t>Type 274 火控雷达</t>
  </si>
  <si>
    <t>宁海号</t>
  </si>
  <si>
    <t>H.I.H. 150mm/50 单装炮</t>
  </si>
  <si>
    <t>130mm/50 Б-2ЛМ 连装炮</t>
  </si>
  <si>
    <t>БМБ型深弹炮</t>
  </si>
  <si>
    <t>OTO/Ansaldo 320mm/44 Mod.1936 三连装炮</t>
  </si>
  <si>
    <t>OTO/Ansaldo 120mm/50 Mod.1926 連装炮</t>
  </si>
  <si>
    <t>6”/45 BL Mk.XII 单装炮</t>
  </si>
  <si>
    <t>203mm/50 Modèle 1924 潜艇连装炮</t>
  </si>
  <si>
    <t>旋转鱼雷发射器</t>
  </si>
  <si>
    <t>海喷火Mk.XV</t>
  </si>
  <si>
    <t>180mm/57 Б-1-П 三连装炮</t>
  </si>
  <si>
    <t>Бе-4</t>
  </si>
  <si>
    <t>SBD-3(麦克拉斯基队)</t>
  </si>
  <si>
    <t>F2A-1(萨奇队)</t>
  </si>
  <si>
    <t>Як-1Б（莉莉娅机）</t>
  </si>
  <si>
    <t>И-16（哲生机）</t>
  </si>
  <si>
    <t>Hawk III（志航机）</t>
  </si>
  <si>
    <t>SBD-3(百思特机)</t>
  </si>
  <si>
    <t>8”/55 Mk15 三连装炮</t>
  </si>
  <si>
    <t>16”/45 BL Mk.II 三连装炮</t>
  </si>
  <si>
    <t>12”/40 BL Mk.IX 潜艇主炮</t>
  </si>
  <si>
    <t>Nests特製手套</t>
  </si>
  <si>
    <t>骑士腰带</t>
  </si>
  <si>
    <t>小型舞台套装</t>
  </si>
  <si>
    <t>星云锁链</t>
  </si>
  <si>
    <t>装甲甲板防盾</t>
  </si>
  <si>
    <t>SK对空雷达(小型)</t>
  </si>
  <si>
    <t>SK对空雷达(大型)</t>
  </si>
  <si>
    <t>CXAM对空雷达</t>
  </si>
  <si>
    <t>Type 284 火控雷达</t>
  </si>
  <si>
    <t>MK38 火控系统</t>
  </si>
  <si>
    <t>21” Mk17 五连装鱼雷</t>
  </si>
  <si>
    <t>御币</t>
  </si>
  <si>
    <t>伞</t>
  </si>
  <si>
    <t>16”/45 Mk5 连装炮</t>
  </si>
  <si>
    <t>剑鱼 (810中队)</t>
  </si>
  <si>
    <t>食蚜蝇</t>
  </si>
  <si>
    <t>Fl282</t>
  </si>
  <si>
    <t>Type 275 火控雷达</t>
  </si>
  <si>
    <t>联络电台</t>
  </si>
  <si>
    <t>梳妆台</t>
  </si>
  <si>
    <t>冈格尼尔</t>
  </si>
  <si>
    <t>高脚柜炸弹</t>
  </si>
  <si>
    <t>Me155</t>
  </si>
  <si>
    <t>P-38 (CAPCOM机)</t>
  </si>
  <si>
    <t>MK37 火控系统</t>
  </si>
  <si>
    <t>155mm/50 modèle 1920 连装炮</t>
  </si>
  <si>
    <t>FM-2</t>
  </si>
  <si>
    <t>305mm 单装无后座力炮</t>
  </si>
  <si>
    <t>军旗</t>
  </si>
  <si>
    <t>P-39（波克雷什金机）</t>
  </si>
  <si>
    <t>F4U-1（波音顿机）</t>
  </si>
  <si>
    <t>SB2U（弗莱明机）</t>
  </si>
  <si>
    <t>BF-109E（加兰德机）</t>
  </si>
  <si>
    <t>Ла-7（阔日杜布机）</t>
  </si>
  <si>
    <t>18”/47 Mk A 连装炮</t>
  </si>
  <si>
    <t>试制72cm三连装酸素鱼雷</t>
  </si>
  <si>
    <t>试制45口径5年式48cm连装炮</t>
  </si>
  <si>
    <t>550mm三连装氧气鱼雷</t>
  </si>
  <si>
    <t>豪华木家具</t>
  </si>
  <si>
    <t>G7eT10线导鱼雷(潜艇)</t>
  </si>
  <si>
    <t>A-2</t>
  </si>
  <si>
    <t>B-25B</t>
  </si>
  <si>
    <t>ASDIC主动声呐</t>
  </si>
  <si>
    <t>天河</t>
  </si>
  <si>
    <t>TBM-3 复仇者</t>
  </si>
  <si>
    <t>21” Mk16 鱼雷(潜艇)</t>
  </si>
  <si>
    <t>飞龙S.4</t>
  </si>
  <si>
    <t>60口径3年式15.5cm单装高角炮</t>
  </si>
  <si>
    <t>Bofors 283mm/45 M/1912 连装炮</t>
  </si>
  <si>
    <t>Saab S 17BS</t>
  </si>
  <si>
    <t>8”/55 Mk16 三连装自动炮</t>
  </si>
  <si>
    <t>瓦通纸箱</t>
  </si>
  <si>
    <t>小提姆火箭弹</t>
  </si>
  <si>
    <t>HE-119 V3</t>
  </si>
  <si>
    <t>F2H-2N报丧女妖</t>
  </si>
  <si>
    <t>14”/50 Mk11 三连装炮</t>
  </si>
  <si>
    <t>5”/38 Mk12 连装平高两用炮 Mk.38 + GFCS</t>
  </si>
  <si>
    <t>学习装置</t>
  </si>
  <si>
    <t>406mm/50 Б-37 三连装炮</t>
  </si>
  <si>
    <t>DRBC火控雷达</t>
  </si>
  <si>
    <t>РАТ-52火箭鱼雷</t>
  </si>
  <si>
    <t>Ту-91</t>
  </si>
  <si>
    <t>流星改（爆装）</t>
  </si>
  <si>
    <t>流星(六〇一空)（爆装）</t>
  </si>
  <si>
    <t>FFF动力鱼雷</t>
  </si>
  <si>
    <t>上游-1发射器</t>
  </si>
  <si>
    <t>上游-1导弹</t>
  </si>
  <si>
    <t>MK-10导弹发射器</t>
  </si>
  <si>
    <t>小猎犬导弹</t>
  </si>
  <si>
    <t>D.790</t>
  </si>
  <si>
    <t>BR.810</t>
  </si>
  <si>
    <t>LN.401</t>
  </si>
  <si>
    <t>青霜</t>
  </si>
  <si>
    <t>试制20.3cm SK L/56 三连装炮</t>
  </si>
  <si>
    <t>火把</t>
  </si>
  <si>
    <t>新型高压Yarrow锅炉</t>
  </si>
  <si>
    <t>12.7cm SK C/41 L/45 连装高角炮</t>
  </si>
  <si>
    <t>酒</t>
  </si>
  <si>
    <t>SR.A/1</t>
  </si>
  <si>
    <t>短20.3cm单装炮</t>
  </si>
  <si>
    <t>新设计 增设突出部(小型舰)</t>
  </si>
  <si>
    <t>Bofors 152mm/53 M/1942 三连装炮</t>
  </si>
  <si>
    <t>G.55 S</t>
  </si>
  <si>
    <t>火力</t>
  </si>
  <si>
    <t>雷装</t>
  </si>
  <si>
    <t>爆装</t>
  </si>
  <si>
    <t>対空</t>
  </si>
  <si>
    <t>対潜</t>
  </si>
  <si>
    <t>索敵</t>
  </si>
  <si>
    <t>命中</t>
  </si>
  <si>
    <t>回避</t>
  </si>
  <si>
    <t>射程</t>
  </si>
  <si>
    <t>装甲</t>
  </si>
  <si>
    <t>備考</t>
  </si>
  <si>
    <r>
      <rPr>
        <sz val="10"/>
        <color theme="1"/>
        <rFont val="Arial"/>
        <family val="2"/>
        <charset val="136"/>
      </rPr>
      <t>種別</t>
    </r>
    <r>
      <rPr>
        <sz val="10"/>
        <color theme="1"/>
        <rFont val="Arial"/>
        <family val="2"/>
        <charset val="136"/>
      </rPr>
      <t>ID</t>
    </r>
  </si>
  <si>
    <t>幸运</t>
    <phoneticPr fontId="6" type="noConversion"/>
  </si>
  <si>
    <t>燃料</t>
  </si>
  <si>
    <t>弹药</t>
  </si>
  <si>
    <t>钢材</t>
  </si>
  <si>
    <t>铝土</t>
  </si>
  <si>
    <t>飞机类型</t>
  </si>
  <si>
    <t>对爆</t>
  </si>
  <si>
    <t>迎击</t>
  </si>
  <si>
    <t>舰載艇分类</t>
  </si>
  <si>
    <t>垂直破甲加成</t>
    <phoneticPr fontId="2" type="noConversion"/>
  </si>
  <si>
    <t>水平破甲加成</t>
  </si>
  <si>
    <t>口径</t>
  </si>
  <si>
    <t>加权对空倍率</t>
  </si>
  <si>
    <t>舰队对空倍率</t>
  </si>
  <si>
    <r>
      <t>对空</t>
    </r>
    <r>
      <rPr>
        <sz val="10"/>
        <color theme="1"/>
        <rFont val="Arial"/>
        <family val="2"/>
        <charset val="136"/>
      </rPr>
      <t>CI</t>
    </r>
    <r>
      <rPr>
        <sz val="10"/>
        <color theme="1"/>
        <rFont val="細明體"/>
        <family val="3"/>
        <charset val="136"/>
      </rPr>
      <t>的装备特性</t>
    </r>
  </si>
  <si>
    <t>特殊效果飞机</t>
  </si>
  <si>
    <t>其他夜战效果</t>
  </si>
  <si>
    <t>陆基效果</t>
  </si>
  <si>
    <r>
      <rPr>
        <sz val="10"/>
        <color rgb="FF000000"/>
        <rFont val="細明體"/>
        <family val="3"/>
        <charset val="136"/>
      </rPr>
      <t>铝</t>
    </r>
    <r>
      <rPr>
        <sz val="10"/>
        <color rgb="FF000000"/>
        <rFont val="ＭＳ Ｐゴシック"/>
        <family val="2"/>
        <charset val="128"/>
      </rPr>
      <t>用量</t>
    </r>
    <phoneticPr fontId="6" type="noConversion"/>
  </si>
  <si>
    <r>
      <rPr>
        <sz val="10"/>
        <color rgb="FF000000"/>
        <rFont val="細明體"/>
        <family val="3"/>
        <charset val="136"/>
      </rPr>
      <t>钢</t>
    </r>
    <r>
      <rPr>
        <sz val="10"/>
        <color rgb="FF000000"/>
        <rFont val="ＭＳ Ｐゴシック"/>
        <family val="2"/>
        <charset val="128"/>
      </rPr>
      <t>用量(</t>
    </r>
    <r>
      <rPr>
        <sz val="10"/>
        <color rgb="FF000000"/>
        <rFont val="細明體"/>
        <family val="3"/>
        <charset val="136"/>
      </rPr>
      <t>铝</t>
    </r>
    <r>
      <rPr>
        <sz val="10"/>
        <color rgb="FF000000"/>
        <rFont val="ＭＳ Ｐゴシック"/>
        <family val="2"/>
        <charset val="128"/>
      </rPr>
      <t>用量x0.2)</t>
    </r>
    <phoneticPr fontId="6" type="noConversion"/>
  </si>
  <si>
    <t>飞机用雷装</t>
    <phoneticPr fontId="6" type="noConversion"/>
  </si>
  <si>
    <t>潜艇专用装备</t>
  </si>
  <si>
    <t>适重等级</t>
  </si>
  <si>
    <t>子分类</t>
  </si>
  <si>
    <t>涡轮加值</t>
  </si>
  <si>
    <t>锅炉加值</t>
  </si>
  <si>
    <t>航巡、潜母も装備可</t>
  </si>
  <si>
    <t>一度だけ轟沈を回避</t>
  </si>
  <si>
    <t>一度だけ轟沈を回避し、耐久値と燃料・弾薬が全回復</t>
  </si>
  <si>
    <t>工作艦に装備可,同時修理可能数+1</t>
  </si>
  <si>
    <t>長門改二日夜戰射擊精度強化</t>
  </si>
  <si>
    <t>剧情道具</t>
  </si>
  <si>
    <t>長門改二日夜戰射擊精度強化?</t>
  </si>
  <si>
    <t>按R调整</t>
  </si>
  <si>
    <t>可在打洞增設</t>
  </si>
  <si>
    <t>超大型电探</t>
  </si>
  <si>
    <t>可在打洞增設 自带机枪</t>
  </si>
  <si>
    <t>按舆论下调火力</t>
  </si>
  <si>
    <r>
      <t>破甲</t>
    </r>
    <r>
      <rPr>
        <sz val="10"/>
        <color theme="1"/>
        <rFont val="Arial"/>
        <family val="2"/>
        <charset val="136"/>
      </rPr>
      <t>,</t>
    </r>
    <r>
      <rPr>
        <sz val="10"/>
        <color theme="1"/>
        <rFont val="細明體"/>
        <family val="3"/>
        <charset val="136"/>
      </rPr>
      <t>火力加成按舰种变更</t>
    </r>
    <phoneticPr fontId="2" type="noConversion"/>
  </si>
  <si>
    <t>EQUIP_ABLE</t>
  </si>
  <si>
    <r>
      <t>SIF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1 ||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2 ||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4 ||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6 ||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10 || (BASE:SHIPID: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&gt;= 15 &amp;&amp;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&lt;= 18) || TALENT:SHIPID:</t>
    </r>
    <r>
      <rPr>
        <sz val="10"/>
        <color rgb="FF000000"/>
        <rFont val="細明體"/>
        <family val="3"/>
        <charset val="136"/>
      </rPr>
      <t>小口径主炮</t>
    </r>
    <phoneticPr fontId="6" type="noConversion"/>
  </si>
  <si>
    <r>
      <t>SIF (BASE:SHIPID: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&gt;= 2 &amp;&amp;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&lt;= 8) || TALENT:SHIPID:</t>
    </r>
    <r>
      <rPr>
        <sz val="10"/>
        <color rgb="FF000000"/>
        <rFont val="細明體"/>
        <family val="3"/>
        <charset val="136"/>
      </rPr>
      <t>主炮装备</t>
    </r>
    <r>
      <rPr>
        <sz val="10"/>
        <color theme="1"/>
        <rFont val="Arial"/>
        <family val="2"/>
        <charset val="136"/>
      </rPr>
      <t xml:space="preserve"> &gt;=2</t>
    </r>
    <phoneticPr fontId="6" type="noConversion"/>
  </si>
  <si>
    <r>
      <t>SIF (BASE:SHIPID: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&gt;= 2 &amp;&amp;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&lt;= 8) || BASE:SHIPID:</t>
    </r>
    <r>
      <rPr>
        <sz val="10"/>
        <color rgb="FF000000"/>
        <rFont val="細明體"/>
        <family val="3"/>
        <charset val="136"/>
      </rPr>
      <t>種族</t>
    </r>
    <r>
      <rPr>
        <sz val="10"/>
        <color theme="1"/>
        <rFont val="Arial"/>
        <family val="2"/>
        <charset val="136"/>
      </rPr>
      <t xml:space="preserve"> == 80 || TALENT:SHIPID:</t>
    </r>
    <r>
      <rPr>
        <sz val="10"/>
        <color rgb="FF000000"/>
        <rFont val="細明體"/>
        <family val="3"/>
        <charset val="136"/>
      </rPr>
      <t>主炮装备</t>
    </r>
    <r>
      <rPr>
        <sz val="10"/>
        <color theme="1"/>
        <rFont val="Arial"/>
        <family val="2"/>
        <charset val="136"/>
      </rPr>
      <t xml:space="preserve"> &gt;=2</t>
    </r>
    <phoneticPr fontId="6" type="noConversion"/>
  </si>
  <si>
    <r>
      <t>SIF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7 ||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8 || BASE:SHIPID:</t>
    </r>
    <r>
      <rPr>
        <sz val="10"/>
        <color rgb="FF000000"/>
        <rFont val="細明體"/>
        <family val="3"/>
        <charset val="136"/>
      </rPr>
      <t>種族</t>
    </r>
    <r>
      <rPr>
        <sz val="10"/>
        <color theme="1"/>
        <rFont val="Arial"/>
        <family val="2"/>
        <charset val="136"/>
      </rPr>
      <t xml:space="preserve"> == 80 || TALENT:SHIPID:</t>
    </r>
    <r>
      <rPr>
        <sz val="10"/>
        <color rgb="FF000000"/>
        <rFont val="細明體"/>
        <family val="3"/>
        <charset val="136"/>
      </rPr>
      <t>主炮装备</t>
    </r>
    <r>
      <rPr>
        <sz val="10"/>
        <color theme="1"/>
        <rFont val="Arial"/>
        <family val="2"/>
        <charset val="136"/>
      </rPr>
      <t xml:space="preserve"> &gt;=4</t>
    </r>
    <phoneticPr fontId="6" type="noConversion"/>
  </si>
  <si>
    <r>
      <t>SIF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7 ||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8 || TALENT:SHIPID:</t>
    </r>
    <r>
      <rPr>
        <sz val="10"/>
        <color rgb="FF000000"/>
        <rFont val="細明體"/>
        <family val="3"/>
        <charset val="136"/>
      </rPr>
      <t>主炮装备</t>
    </r>
    <r>
      <rPr>
        <sz val="10"/>
        <color theme="1"/>
        <rFont val="Arial"/>
        <family val="2"/>
        <charset val="136"/>
      </rPr>
      <t xml:space="preserve"> &gt;=5</t>
    </r>
    <phoneticPr fontId="6" type="noConversion"/>
  </si>
  <si>
    <t>SIF BASE:SHIPID:舰种 != 1 &amp;&amp; BASE:SHIPID:舰种 != 13 &amp;&amp; BASE:SHIPID:舰种 != 14</t>
  </si>
  <si>
    <r>
      <t xml:space="preserve">SIF </t>
    </r>
    <r>
      <rPr>
        <sz val="10"/>
        <color theme="1"/>
        <rFont val="Arial"/>
        <family val="2"/>
        <charset val="136"/>
      </rPr>
      <t>CFLAG:SHIPID:1932 &gt; 0</t>
    </r>
    <phoneticPr fontId="6" type="noConversion"/>
  </si>
  <si>
    <t>SIF BASE:SHIPID:舰种 == 9 || BASE:SHIPID:舰种 == 11 || BASE:SHIPID:舰种 == 12 || (SHIPID == 260 &amp;&amp; CFLAG:SHIPID:1910 &gt; 0) || TALENT:SHIPID:飞机场</t>
  </si>
  <si>
    <t>SIF BASE:SHIPID:舰种 == 9 || BASE:SHIPID:舰种 == 11 || BASE:SHIPID:舰种 == 12 || BASE:SHIPID:舰种 == 15 || TALENT:SHIPID:飞机场</t>
  </si>
  <si>
    <t>SIF BASE:SHIPID:舰种 == 9 || BASE:SHIPID:舰种 == 11 || BASE:SHIPID:舰种 == 12 || TALENT:SHIPID:飞机场</t>
  </si>
  <si>
    <t>SIF BASE:SHIPID:舰种 == 2 || BASE:SHIPID:舰种 == 3 || BASE:SHIPID:舰种 == 5 || BASE:SHIPID:舰种 == 6 || BASE:SHIPID:舰种 == 7 || BASE:SHIPID:舰种 == 8 || BASE:SHIPID:舰种 == 10 || BASE:SHIPID:舰种 == 13 || BASE:SHIPID:舰种 == 18</t>
  </si>
  <si>
    <t>SIF BASE:SHIPID:舰种 == 5 || BASE:SHIPID:舰种 == 7 || BASE:SHIPID:舰种 == 10 || BASE:SHIPID:舰种 == 13 || TALENT:SHIPID:水爆装备 || TALENT:SHIPID:飞机场 || BASE:SHIPID:舰种 == 18</t>
  </si>
  <si>
    <t>SIF BASE:SHIPID:舰种 != 13 &amp;&amp; BASE:SHIPID:舰种 != 14</t>
  </si>
  <si>
    <t>SIF (BASE:SHIPID:舰种 &gt; 1 &amp;&amp; BASE:SHIPID:舰种 &lt;= 12) || (BASE:SHIPID:種族 == 260 &amp;&amp; CFLAG:SHIPID:1910 &gt; 0) || (BASE:SHIPID:種族 == 90 &amp;&amp; CFLAG:SHIPID:1910 == 3)</t>
  </si>
  <si>
    <t>SIF TALENT:SHIPID:海防舰 == 0</t>
  </si>
  <si>
    <r>
      <t>SIF (BASE:SHIPID: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&gt;= 2 &amp;&amp;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&lt;= 8) || TALENT:SHIPID:</t>
    </r>
    <r>
      <rPr>
        <sz val="10"/>
        <color rgb="FF000000"/>
        <rFont val="細明體"/>
        <family val="3"/>
        <charset val="136"/>
      </rPr>
      <t>炮战潜艇</t>
    </r>
    <r>
      <rPr>
        <sz val="10"/>
        <color theme="1"/>
        <rFont val="Arial"/>
        <family val="2"/>
        <charset val="136"/>
      </rPr>
      <t xml:space="preserve"> || TALENT:SHIPID:</t>
    </r>
    <r>
      <rPr>
        <sz val="10"/>
        <color rgb="FF000000"/>
        <rFont val="細明體"/>
        <family val="3"/>
        <charset val="136"/>
      </rPr>
      <t>主炮装备</t>
    </r>
    <r>
      <rPr>
        <sz val="10"/>
        <color theme="1"/>
        <rFont val="Arial"/>
        <family val="2"/>
        <charset val="136"/>
      </rPr>
      <t xml:space="preserve"> &gt;= 2</t>
    </r>
    <phoneticPr fontId="6" type="noConversion"/>
  </si>
  <si>
    <t>SIF BASE:SHIPID:舰种 == 4 || BASE:SHIPID:舰种 == 14 || TALENT:SHIPID:甲标的</t>
  </si>
  <si>
    <t>;所有人</t>
  </si>
  <si>
    <r>
      <t>SIF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1 ||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2 ||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4 ||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6 ||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10 || TALENT:SHIPID:</t>
    </r>
    <r>
      <rPr>
        <sz val="10"/>
        <color rgb="FF000000"/>
        <rFont val="細明體"/>
        <family val="3"/>
        <charset val="136"/>
      </rPr>
      <t>护卫空母</t>
    </r>
    <phoneticPr fontId="6" type="noConversion"/>
  </si>
  <si>
    <r>
      <t>SIF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1 ||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2 ||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4 ||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6 ||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13 ||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14 || (BASE:SHIPID:</t>
    </r>
    <r>
      <rPr>
        <sz val="10"/>
        <color rgb="FF000000"/>
        <rFont val="細明體"/>
        <family val="3"/>
        <charset val="136"/>
      </rPr>
      <t>種族</t>
    </r>
    <r>
      <rPr>
        <sz val="10"/>
        <color theme="1"/>
        <rFont val="Arial"/>
        <family val="2"/>
        <charset val="136"/>
      </rPr>
      <t xml:space="preserve"> == 245 &amp;&amp; CFLAG:SHIPID:1910 &gt; 0) || (BASE:SHIPID:</t>
    </r>
    <r>
      <rPr>
        <sz val="10"/>
        <color rgb="FF000000"/>
        <rFont val="細明體"/>
        <family val="3"/>
        <charset val="136"/>
      </rPr>
      <t>種族</t>
    </r>
    <r>
      <rPr>
        <sz val="10"/>
        <color theme="1"/>
        <rFont val="Arial"/>
        <family val="2"/>
        <charset val="136"/>
      </rPr>
      <t xml:space="preserve"> == 260 &amp;&amp; CFLAG:SHIPID:1910 &gt; 0) || TALENT:SHIPID:</t>
    </r>
    <r>
      <rPr>
        <sz val="10"/>
        <color rgb="FF000000"/>
        <rFont val="細明體"/>
        <family val="3"/>
        <charset val="136"/>
      </rPr>
      <t>护卫空母</t>
    </r>
    <phoneticPr fontId="6" type="noConversion"/>
  </si>
  <si>
    <t>SIF BASE:SHIPID:舰种 == 2 || BASE:SHIPID:舰种 == 3 || BASE:SHIPID:舰种 == 5 || BASE:SHIPID:舰种 == 6 || BASE:SHIPID:舰种 == 7 || BASE:SHIPID:舰种 == 8 || BASE:SHIPID:舰种 == 10 || BASE:SHIPID:舰种 == 13 || TALENT:SHIPID:飞机场 || BASE:SHIPID:舰种 == 18</t>
  </si>
  <si>
    <r>
      <t>SIF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10 ||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15 ||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18 || TALENT:SHIPID:</t>
    </r>
    <r>
      <rPr>
        <sz val="10"/>
        <color rgb="FF000000"/>
        <rFont val="細明體"/>
        <family val="3"/>
        <charset val="136"/>
      </rPr>
      <t>大发装备</t>
    </r>
    <phoneticPr fontId="6" type="noConversion"/>
  </si>
  <si>
    <t>SIF BASE:SHIPID:舰种 == 5 || BASE:SHIPID:舰种 == 7 || BASE:SHIPID:舰种 == 9 || BASE:SHIPID:舰种 == 15 || BASE:SHIPID:舰种 == 16 || BASE:SHIPID:舰种 == 17 || BASE:SHIPID:舰种 == 18 || TALENT:SHIPID:飞机场</t>
  </si>
  <si>
    <t>SIF BASE:SHIPID:舰种 == 9 || BASE:SHIPID:舰种 == 15 || TALENT:SHIPID:飞机场</t>
  </si>
  <si>
    <t>SIF BASE:SHIPID:舰种 == 3 || BASE:SHIPID:舰种 == 5 || BASE:SHIPID:舰种 == 9 || BASE:SHIPID:舰种 == 10 || BASE:SHIPID:舰种 == 6 || BASE:SHIPID:舰种 == 17 || (BASE:SHIPID:種族 == 72 &amp;&amp; CFLAG:SHIPID:1910 &gt;= 2)</t>
  </si>
  <si>
    <t xml:space="preserve">SIF BASE:SHIPID:舰种 == 7 || BASE:SHIPID:舰种 == 8 || BASE:SHIPID:舰种 == 11 || BASE:SHIPID:舰种 == 12 </t>
  </si>
  <si>
    <r>
      <t>SIF (BASE:SHIPID: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1 &amp;&amp; TALENT:SHIPID:</t>
    </r>
    <r>
      <rPr>
        <sz val="10"/>
        <color rgb="FF000000"/>
        <rFont val="細明體"/>
        <family val="3"/>
        <charset val="136"/>
      </rPr>
      <t>海防舰</t>
    </r>
    <r>
      <rPr>
        <sz val="10"/>
        <color theme="1"/>
        <rFont val="Arial"/>
        <family val="2"/>
        <charset val="136"/>
      </rPr>
      <t xml:space="preserve"> == 0) ||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2 ||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6 ||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3 ||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5 ||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7 ||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8 ||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10</t>
    </r>
    <phoneticPr fontId="6" type="noConversion"/>
  </si>
  <si>
    <r>
      <t>SIF (BASE:SHIPID: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1 &amp;&amp; TALENT:SHIPID:</t>
    </r>
    <r>
      <rPr>
        <sz val="10"/>
        <color rgb="FF000000"/>
        <rFont val="細明體"/>
        <family val="3"/>
        <charset val="136"/>
      </rPr>
      <t>海防舰</t>
    </r>
    <r>
      <rPr>
        <sz val="10"/>
        <color theme="1"/>
        <rFont val="Arial"/>
        <family val="2"/>
        <charset val="136"/>
      </rPr>
      <t xml:space="preserve"> == 0) ||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2 ||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6 ||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5 ||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10 ||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15 ||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18</t>
    </r>
    <phoneticPr fontId="6" type="noConversion"/>
  </si>
  <si>
    <r>
      <t>SIF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7 ||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8 || BASE:SHIPID:</t>
    </r>
    <r>
      <rPr>
        <sz val="10"/>
        <color rgb="FF000000"/>
        <rFont val="細明體"/>
        <family val="3"/>
        <charset val="136"/>
      </rPr>
      <t>種族</t>
    </r>
    <r>
      <rPr>
        <sz val="10"/>
        <color theme="1"/>
        <rFont val="Arial"/>
        <family val="2"/>
        <charset val="136"/>
      </rPr>
      <t xml:space="preserve"> == 80 || TALENT:SHIPID:</t>
    </r>
    <r>
      <rPr>
        <sz val="10"/>
        <color rgb="FF000000"/>
        <rFont val="細明體"/>
        <family val="3"/>
        <charset val="136"/>
      </rPr>
      <t>主炮装备</t>
    </r>
    <r>
      <rPr>
        <sz val="10"/>
        <color theme="1"/>
        <rFont val="Arial"/>
        <family val="2"/>
        <charset val="136"/>
      </rPr>
      <t xml:space="preserve"> &gt;= 4</t>
    </r>
    <phoneticPr fontId="6" type="noConversion"/>
  </si>
  <si>
    <t>SIF BASE:SHIPID:舰种 == 16 || (BASE:SHIPID:種族 == 245 &amp;&amp; CFLAG:SHIPID:1910 &gt; 0)</t>
  </si>
  <si>
    <t>SIF BASE:SHIPID:舰种 == 13 || BASE:SHIPID:舰种 == 14</t>
  </si>
  <si>
    <r>
      <t>SIF (BASE:SHIPID: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1 &amp;&amp; TALENT:SHIPID:</t>
    </r>
    <r>
      <rPr>
        <sz val="10"/>
        <color rgb="FF000000"/>
        <rFont val="細明體"/>
        <family val="3"/>
        <charset val="136"/>
      </rPr>
      <t>海防舰</t>
    </r>
    <r>
      <rPr>
        <sz val="10"/>
        <color theme="1"/>
        <rFont val="Arial"/>
        <family val="2"/>
        <charset val="136"/>
      </rPr>
      <t xml:space="preserve"> == 0) ||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2 ||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4 ||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6 ||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3 ||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5 ||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7 ||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8 ||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10 ||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15 ||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16</t>
    </r>
    <phoneticPr fontId="6" type="noConversion"/>
  </si>
  <si>
    <r>
      <t>SIF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7 ||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8 || TALENT:SHIPID:</t>
    </r>
    <r>
      <rPr>
        <sz val="10"/>
        <color rgb="FF000000"/>
        <rFont val="細明體"/>
        <family val="3"/>
        <charset val="136"/>
      </rPr>
      <t>主炮装备</t>
    </r>
    <r>
      <rPr>
        <sz val="10"/>
        <color theme="1"/>
        <rFont val="Arial"/>
        <family val="2"/>
        <charset val="136"/>
      </rPr>
      <t xml:space="preserve"> &gt;=4</t>
    </r>
    <phoneticPr fontId="6" type="noConversion"/>
  </si>
  <si>
    <t>SIF BASE:SHIPID:舰种 == 2 || BASE:SHIPID:舰种 == 4 || BASE:SHIPID:舰种 == 6 || BASE:SHIPID:舰种 == 3 || BASE:SHIPID:舰种 == 5 || BASE:SHIPID:舰种 == 7 || BASE:SHIPID:舰种 == 8 || BASE:SHIPID:舰种 == 9 || BASE:SHIPID:舰种 == 10 || BASE:SHIPID:舰种 == 12 || BASE:SHIPID:舰种 == 11 || (BASE:SHIPID:種族 == 90 &amp;&amp; CFLAG:SHIPID:1910 == 2)</t>
  </si>
  <si>
    <r>
      <t>SIF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5 ||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7 ||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9 ||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11 ||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12 || (BASE:SHIPID:</t>
    </r>
    <r>
      <rPr>
        <sz val="10"/>
        <color rgb="FF000000"/>
        <rFont val="細明體"/>
        <family val="3"/>
        <charset val="136"/>
      </rPr>
      <t>種族</t>
    </r>
    <r>
      <rPr>
        <sz val="10"/>
        <color theme="1"/>
        <rFont val="Arial"/>
        <family val="2"/>
        <charset val="136"/>
      </rPr>
      <t xml:space="preserve"> == 245 &amp;&amp; CFLAG:SHIPID:1910 &gt; 0) ||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18 || (BASE:SHIPID:</t>
    </r>
    <r>
      <rPr>
        <sz val="10"/>
        <color rgb="FF000000"/>
        <rFont val="細明體"/>
        <family val="3"/>
        <charset val="136"/>
      </rPr>
      <t>種族</t>
    </r>
    <r>
      <rPr>
        <sz val="10"/>
        <color theme="1"/>
        <rFont val="Arial"/>
        <family val="2"/>
        <charset val="136"/>
      </rPr>
      <t xml:space="preserve"> == 248 &amp;&amp; CFLAG:SHIPID:1910 &gt;= 2) || (BASE:SHIPID:種族 == 45 &amp;&amp; CFLAG:SHIPID:1910 &gt;= 2)</t>
    </r>
  </si>
  <si>
    <r>
      <t>SIF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7 ||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8 || BASE:SHIPID:</t>
    </r>
    <r>
      <rPr>
        <sz val="10"/>
        <color rgb="FF000000"/>
        <rFont val="細明體"/>
        <family val="3"/>
        <charset val="136"/>
      </rPr>
      <t>種族</t>
    </r>
    <r>
      <rPr>
        <sz val="10"/>
        <color theme="1"/>
        <rFont val="Arial"/>
        <family val="2"/>
        <charset val="136"/>
      </rPr>
      <t xml:space="preserve"> == 80 || TALENT:SHIPID:</t>
    </r>
    <r>
      <rPr>
        <sz val="10"/>
        <color rgb="FF000000"/>
        <rFont val="細明體"/>
        <family val="3"/>
        <charset val="136"/>
      </rPr>
      <t>主炮装备</t>
    </r>
    <r>
      <rPr>
        <sz val="10"/>
        <color theme="1"/>
        <rFont val="Arial"/>
        <family val="2"/>
        <charset val="136"/>
      </rPr>
      <t xml:space="preserve"> &gt;=4</t>
    </r>
    <phoneticPr fontId="6" type="noConversion"/>
  </si>
  <si>
    <r>
      <t>SIF (BASE:SHIPID: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&gt;= 2 &amp;&amp;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&lt;= 8) || TALENT:SHIPID:</t>
    </r>
    <r>
      <rPr>
        <sz val="10"/>
        <color rgb="FF000000"/>
        <rFont val="細明體"/>
        <family val="3"/>
        <charset val="136"/>
      </rPr>
      <t>炮战潜艇</t>
    </r>
    <r>
      <rPr>
        <sz val="10"/>
        <color theme="1"/>
        <rFont val="Arial"/>
        <family val="2"/>
        <charset val="136"/>
      </rPr>
      <t xml:space="preserve"> || TALENT:SHIPID:</t>
    </r>
    <r>
      <rPr>
        <sz val="10"/>
        <color rgb="FF000000"/>
        <rFont val="細明體"/>
        <family val="3"/>
        <charset val="136"/>
      </rPr>
      <t>主炮装备</t>
    </r>
    <r>
      <rPr>
        <sz val="10"/>
        <color theme="1"/>
        <rFont val="Arial"/>
        <family val="2"/>
        <charset val="136"/>
      </rPr>
      <t xml:space="preserve"> &gt;= 2</t>
    </r>
    <phoneticPr fontId="6" type="noConversion"/>
  </si>
  <si>
    <r>
      <t>SIF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7 ||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8 || BASE:SHIPID:</t>
    </r>
    <r>
      <rPr>
        <sz val="10"/>
        <color rgb="FF000000"/>
        <rFont val="細明體"/>
        <family val="3"/>
        <charset val="136"/>
      </rPr>
      <t>種族</t>
    </r>
    <r>
      <rPr>
        <sz val="10"/>
        <color theme="1"/>
        <rFont val="Arial"/>
        <family val="2"/>
        <charset val="136"/>
      </rPr>
      <t xml:space="preserve"> == 80 || TALENT:SHIPID:</t>
    </r>
    <r>
      <rPr>
        <sz val="10"/>
        <color rgb="FF000000"/>
        <rFont val="細明體"/>
        <family val="3"/>
        <charset val="136"/>
      </rPr>
      <t>主炮装备</t>
    </r>
    <r>
      <rPr>
        <sz val="10"/>
        <color theme="1"/>
        <rFont val="Arial"/>
        <family val="2"/>
        <charset val="136"/>
      </rPr>
      <t xml:space="preserve"> &gt;=5</t>
    </r>
    <phoneticPr fontId="6" type="noConversion"/>
  </si>
  <si>
    <r>
      <t>SIF (BASE:SHIPID: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&gt;= 2 &amp;&amp;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&lt;= 8) || BASE:SHIPID:</t>
    </r>
    <r>
      <rPr>
        <sz val="10"/>
        <color rgb="FF000000"/>
        <rFont val="細明體"/>
        <family val="3"/>
        <charset val="136"/>
      </rPr>
      <t>種族</t>
    </r>
    <r>
      <rPr>
        <sz val="10"/>
        <color theme="1"/>
        <rFont val="Arial"/>
        <family val="2"/>
        <charset val="136"/>
      </rPr>
      <t xml:space="preserve"> == 80 || TALENT:SHIPID:</t>
    </r>
    <r>
      <rPr>
        <sz val="10"/>
        <color rgb="FF000000"/>
        <rFont val="細明體"/>
        <family val="3"/>
        <charset val="136"/>
      </rPr>
      <t>主炮装备</t>
    </r>
    <r>
      <rPr>
        <sz val="10"/>
        <color theme="1"/>
        <rFont val="Arial"/>
        <family val="2"/>
        <charset val="136"/>
      </rPr>
      <t xml:space="preserve"> &gt;=2</t>
    </r>
    <phoneticPr fontId="6" type="noConversion"/>
  </si>
  <si>
    <r>
      <t>SIF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1 ||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2 ||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4 ||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6 ||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10 || (BASE:SHIPID: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&gt;= 15 &amp;&amp;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&lt;= 18) || TALENT:SHIPID:</t>
    </r>
    <r>
      <rPr>
        <sz val="10"/>
        <color rgb="FF000000"/>
        <rFont val="細明體"/>
        <family val="3"/>
        <charset val="136"/>
      </rPr>
      <t>小口径主炮</t>
    </r>
    <phoneticPr fontId="6" type="noConversion"/>
  </si>
  <si>
    <r>
      <t xml:space="preserve">SIF </t>
    </r>
    <r>
      <rPr>
        <sz val="10"/>
        <color theme="1"/>
        <rFont val="Arial"/>
        <family val="2"/>
        <charset val="136"/>
      </rPr>
      <t>CFLAG:SHIPID:1932 &gt; 0</t>
    </r>
    <phoneticPr fontId="6" type="noConversion"/>
  </si>
  <si>
    <t>SIF BASE:SHIPID:舰种 == 1 || BASE:SHIPID:舰种 == 2 || BASE:SHIPID:舰种 == 5 || BASE:SHIPID:舰种 == 6 || BASE:SHIPID:舰种 == 7 || BASE:SHIPID:舰种 == 10 || BASE:SHIPID:舰种 == 13 || BASE:SHIPID:舰种 == 14 || BASE:SHIPID:舰种 == 15 || BASE:SHIPID:舰种 == 17</t>
  </si>
  <si>
    <r>
      <t>SIF TALENT:SHIPID:</t>
    </r>
    <r>
      <rPr>
        <sz val="10"/>
        <color rgb="FF000000"/>
        <rFont val="細明體"/>
        <family val="3"/>
        <charset val="136"/>
      </rPr>
      <t>主炮装备</t>
    </r>
    <r>
      <rPr>
        <sz val="10"/>
        <color theme="1"/>
        <rFont val="Arial"/>
        <family val="2"/>
        <charset val="136"/>
      </rPr>
      <t xml:space="preserve"> &gt;= 6</t>
    </r>
    <phoneticPr fontId="6" type="noConversion"/>
  </si>
  <si>
    <t xml:space="preserve">SIF BASE:SHIPID:舰种 == 1 || BASE:SHIPID:舰种 == 2 || BASE:SHIPID:舰种 == 4 || BASE:SHIPID:舰种 == 6 || BASE:SHIPID:舰种 == 3 || BASE:SHIPID:舰种 == 5 || BASE:SHIPID:舰种 == 7 || BASE:SHIPID:舰种 == 8 ||  BASE:SHIPID:舰种 == 10 </t>
  </si>
  <si>
    <r>
      <t>SIF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3 ||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5 ||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7 ||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8 ||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9 ||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10 ||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12 ||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11 </t>
    </r>
    <phoneticPr fontId="6" type="noConversion"/>
  </si>
  <si>
    <r>
      <t>SIF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7 ||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8 || TALENT:SHIPID:</t>
    </r>
    <r>
      <rPr>
        <sz val="10"/>
        <color rgb="FF000000"/>
        <rFont val="細明體"/>
        <family val="3"/>
        <charset val="136"/>
      </rPr>
      <t>主炮装备</t>
    </r>
    <r>
      <rPr>
        <sz val="10"/>
        <color theme="1"/>
        <rFont val="Arial"/>
        <family val="2"/>
        <charset val="136"/>
      </rPr>
      <t xml:space="preserve"> &gt;=4</t>
    </r>
    <phoneticPr fontId="6" type="noConversion"/>
  </si>
  <si>
    <r>
      <t>SIF TALENT:SHIPID:</t>
    </r>
    <r>
      <rPr>
        <sz val="10"/>
        <color rgb="FF000000"/>
        <rFont val="細明體"/>
        <family val="3"/>
        <charset val="136"/>
      </rPr>
      <t>飞行艇母舰</t>
    </r>
    <r>
      <rPr>
        <sz val="10"/>
        <color theme="1"/>
        <rFont val="Arial"/>
        <family val="2"/>
        <charset val="136"/>
      </rPr>
      <t xml:space="preserve"> || TALENT:SHIPID:</t>
    </r>
    <r>
      <rPr>
        <sz val="10"/>
        <color rgb="FF000000"/>
        <rFont val="細明體"/>
        <family val="3"/>
        <charset val="136"/>
      </rPr>
      <t>飞机场</t>
    </r>
    <r>
      <rPr>
        <sz val="10"/>
        <color theme="1"/>
        <rFont val="Arial"/>
        <family val="2"/>
        <charset val="136"/>
      </rPr>
      <t xml:space="preserve"> &gt; 2</t>
    </r>
    <phoneticPr fontId="6" type="noConversion"/>
  </si>
  <si>
    <r>
      <t>SIF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7 ||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8 || BASE:SHIPID:</t>
    </r>
    <r>
      <rPr>
        <sz val="10"/>
        <color rgb="FF000000"/>
        <rFont val="細明體"/>
        <family val="3"/>
        <charset val="136"/>
      </rPr>
      <t>種族</t>
    </r>
    <r>
      <rPr>
        <sz val="10"/>
        <color theme="1"/>
        <rFont val="Arial"/>
        <family val="2"/>
        <charset val="136"/>
      </rPr>
      <t xml:space="preserve"> == 291 || (BASE:SHIPID:</t>
    </r>
    <r>
      <rPr>
        <sz val="10"/>
        <color rgb="FF000000"/>
        <rFont val="細明體"/>
        <family val="3"/>
        <charset val="136"/>
      </rPr>
      <t>種族</t>
    </r>
    <r>
      <rPr>
        <sz val="10"/>
        <color theme="1"/>
        <rFont val="Arial"/>
        <family val="2"/>
        <charset val="136"/>
      </rPr>
      <t xml:space="preserve"> == 248 &amp;&amp; CFLAG:SHIPID:1910 &gt;= 2)</t>
    </r>
    <phoneticPr fontId="6" type="noConversion"/>
  </si>
  <si>
    <t>SIF BASE:SHIPID:舰种 == 7 || BASE:SHIPID:舰种 == 8</t>
  </si>
  <si>
    <t>SIF BASE:SHIPID:舰种 == 18</t>
  </si>
  <si>
    <r>
      <t>SIF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1 ||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2 ||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4 ||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6 ||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13 ||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14 || (BASE:SHIPID:</t>
    </r>
    <r>
      <rPr>
        <sz val="10"/>
        <color rgb="FF000000"/>
        <rFont val="細明體"/>
        <family val="3"/>
        <charset val="136"/>
      </rPr>
      <t>種族</t>
    </r>
    <r>
      <rPr>
        <sz val="10"/>
        <color theme="1"/>
        <rFont val="Arial"/>
        <family val="2"/>
        <charset val="136"/>
      </rPr>
      <t xml:space="preserve"> == 245 &amp;&amp; CFLAG:SHIPID:1910 &gt; 0) || (BASE:SHIPID:</t>
    </r>
    <r>
      <rPr>
        <sz val="10"/>
        <color rgb="FF000000"/>
        <rFont val="細明體"/>
        <family val="3"/>
        <charset val="136"/>
      </rPr>
      <t>種族</t>
    </r>
    <r>
      <rPr>
        <sz val="10"/>
        <color theme="1"/>
        <rFont val="Arial"/>
        <family val="2"/>
        <charset val="136"/>
      </rPr>
      <t xml:space="preserve"> == 260 &amp;&amp; CFLAG:SHIPID:1910 &gt; 0) || TALENT:SHIPID:</t>
    </r>
    <r>
      <rPr>
        <sz val="10"/>
        <color rgb="FF000000"/>
        <rFont val="細明體"/>
        <family val="3"/>
        <charset val="136"/>
      </rPr>
      <t>护卫空母</t>
    </r>
    <phoneticPr fontId="6" type="noConversion"/>
  </si>
  <si>
    <r>
      <t>SIF TALENT:SHIPID:</t>
    </r>
    <r>
      <rPr>
        <sz val="10"/>
        <color rgb="FF000000"/>
        <rFont val="細明體"/>
        <family val="3"/>
        <charset val="136"/>
      </rPr>
      <t>弹射器</t>
    </r>
    <r>
      <rPr>
        <sz val="10"/>
        <color theme="1"/>
        <rFont val="Arial"/>
        <family val="2"/>
        <charset val="136"/>
      </rPr>
      <t xml:space="preserve"> || TALENT:SHIPID:</t>
    </r>
    <r>
      <rPr>
        <sz val="10"/>
        <color rgb="FF000000"/>
        <rFont val="細明體"/>
        <family val="3"/>
        <charset val="136"/>
      </rPr>
      <t>飞机场</t>
    </r>
    <r>
      <rPr>
        <sz val="10"/>
        <color theme="1"/>
        <rFont val="Arial"/>
        <family val="2"/>
        <charset val="136"/>
      </rPr>
      <t xml:space="preserve"> &gt; 1</t>
    </r>
    <phoneticPr fontId="6" type="noConversion"/>
  </si>
  <si>
    <t>SIF BASE:SHIPID:舰种 == 5 || BASE:SHIPID:舰种 == 7 || BASE:SHIPID:舰种 == 10 || BASE:SHIPID:舰种 == 13 || BASE:SHIPID:舰种 == 17 || TALENT:SHIPID:水战装备 || TALENT:SHIPID:飞机场 || BASE:SHIPID:舰种 == 18</t>
  </si>
  <si>
    <r>
      <t>SIF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10 ||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15 ||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18 || TALENT:SHIPID:</t>
    </r>
    <r>
      <rPr>
        <sz val="10"/>
        <color rgb="FF000000"/>
        <rFont val="細明體"/>
        <family val="3"/>
        <charset val="136"/>
      </rPr>
      <t>大发装备</t>
    </r>
    <phoneticPr fontId="6" type="noConversion"/>
  </si>
  <si>
    <r>
      <t>SIF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10 ||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15 || (BASE:SHIPID: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13) || (BASE:SHIPID: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14) ||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18 || TALENT:SHIPID:</t>
    </r>
    <r>
      <rPr>
        <sz val="10"/>
        <color rgb="FF000000"/>
        <rFont val="細明體"/>
        <family val="3"/>
        <charset val="136"/>
      </rPr>
      <t>内火艇装备</t>
    </r>
    <phoneticPr fontId="6" type="noConversion"/>
  </si>
  <si>
    <r>
      <t>SIF TALENT:SHIPID:</t>
    </r>
    <r>
      <rPr>
        <sz val="10"/>
        <rFont val="細明體"/>
        <family val="3"/>
        <charset val="136"/>
      </rPr>
      <t>飞机场</t>
    </r>
    <r>
      <rPr>
        <sz val="10"/>
        <rFont val="Arial"/>
        <family val="2"/>
        <charset val="1"/>
      </rPr>
      <t xml:space="preserve"> &gt; 2</t>
    </r>
    <phoneticPr fontId="6" type="noConversion"/>
  </si>
  <si>
    <r>
      <t>SIF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5 ||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7 ||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10 ||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13 || TALENT:SHIPID:</t>
    </r>
    <r>
      <rPr>
        <sz val="10"/>
        <color rgb="FF000000"/>
        <rFont val="細明體"/>
        <family val="3"/>
        <charset val="136"/>
      </rPr>
      <t>水爆装备</t>
    </r>
    <r>
      <rPr>
        <sz val="10"/>
        <color theme="1"/>
        <rFont val="Arial"/>
        <family val="2"/>
        <charset val="136"/>
      </rPr>
      <t xml:space="preserve"> || TALENT:SHIPID:</t>
    </r>
    <r>
      <rPr>
        <sz val="10"/>
        <color rgb="FF000000"/>
        <rFont val="細明體"/>
        <family val="3"/>
        <charset val="136"/>
      </rPr>
      <t>飞机场</t>
    </r>
    <r>
      <rPr>
        <sz val="10"/>
        <color theme="1"/>
        <rFont val="Arial"/>
        <family val="2"/>
        <charset val="136"/>
      </rPr>
      <t xml:space="preserve"> ||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18</t>
    </r>
    <phoneticPr fontId="6" type="noConversion"/>
  </si>
  <si>
    <r>
      <t>SIF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13 ||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14</t>
    </r>
    <phoneticPr fontId="6" type="noConversion"/>
  </si>
  <si>
    <r>
      <t>SIF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1 ||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2 ||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4 ||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6 ||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== 10 || TALENT:SHIPID:</t>
    </r>
    <r>
      <rPr>
        <sz val="10"/>
        <color rgb="FF000000"/>
        <rFont val="細明體"/>
        <family val="3"/>
        <charset val="136"/>
      </rPr>
      <t>护卫空母</t>
    </r>
    <phoneticPr fontId="6" type="noConversion"/>
  </si>
  <si>
    <t>SIF BASE:SHIPID:舰种 == 7 || BASE:SHIPID:舰种 == 8 || TALENT:SHIPID:主炮装备 &gt;=3</t>
  </si>
  <si>
    <r>
      <t>SIF (BASE:SHIPID: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&gt;= 2 &amp;&amp; BASE:SHIPID:</t>
    </r>
    <r>
      <rPr>
        <sz val="10"/>
        <color rgb="FF000000"/>
        <rFont val="細明體"/>
        <family val="3"/>
        <charset val="136"/>
      </rPr>
      <t>舰种</t>
    </r>
    <r>
      <rPr>
        <sz val="10"/>
        <color theme="1"/>
        <rFont val="Arial"/>
        <family val="2"/>
        <charset val="136"/>
      </rPr>
      <t xml:space="preserve"> &lt;= 8) || TALENT:SHIPID:</t>
    </r>
    <r>
      <rPr>
        <sz val="10"/>
        <color rgb="FF000000"/>
        <rFont val="細明體"/>
        <family val="3"/>
        <charset val="136"/>
      </rPr>
      <t>主炮装备</t>
    </r>
    <r>
      <rPr>
        <sz val="10"/>
        <color theme="1"/>
        <rFont val="Arial"/>
        <family val="2"/>
        <charset val="136"/>
      </rPr>
      <t xml:space="preserve"> &gt;=2</t>
    </r>
    <phoneticPr fontId="6" type="noConversion"/>
  </si>
  <si>
    <r>
      <rPr>
        <sz val="10"/>
        <color theme="1"/>
        <rFont val="細明體"/>
        <family val="3"/>
        <charset val="136"/>
      </rPr>
      <t>破甲</t>
    </r>
    <r>
      <rPr>
        <sz val="10"/>
        <color theme="1"/>
        <rFont val="Arial"/>
        <family val="2"/>
        <charset val="136"/>
      </rPr>
      <t>,</t>
    </r>
    <r>
      <rPr>
        <sz val="10"/>
        <color theme="1"/>
        <rFont val="細明體"/>
        <family val="3"/>
        <charset val="136"/>
      </rPr>
      <t>火力加成按舰种变更</t>
    </r>
    <phoneticPr fontId="2" type="noConversion"/>
  </si>
  <si>
    <t>彩云(解体状态)</t>
  </si>
  <si>
    <t>SIF BASE:SHIPID:舰种 == 1 || BASE:SHIPID:舰种 == 2 || BASE:SHIPID:舰种 == 4 || BASE:SHIPID:舰种 == 6 || BASE:SHIPID:舰种 == 10 || (BASE:SHIPID:舰种 &gt;= 15 &amp;&amp; BASE:SHIPID:舰种 &lt;= 18) || TALENT:SHIPID:小口径主炮</t>
  </si>
  <si>
    <t>SIF BASE:SHIPID:舰种 == 1 || BASE:SHIPID:舰种 == 2 || BASE:SHIPID:舰种 == 4 || BASE:SHIPID:舰种 == 6 || BASE:SHIPID:舰种 == 10 || (BASE:SHIPID:舰种 &gt;= 13 &amp;&amp; BASE:SHIPID:舰种 &lt;= 18) || TALENT:SHIPID:小口径主炮</t>
  </si>
  <si>
    <t>SIF BASE:SHIPID:舰种 == 1 || BASE:SHIPID:舰种 == 2 || BASE:SHIPID:舰种 == 10 || BASE:SHIPID:舰种 == 18 || TALENT:SHIPID:主炮装备 &gt;=1</t>
  </si>
  <si>
    <t>SIF (BASE:SHIPID:舰种 &gt;= 2 &amp;&amp; BASE:SHIPID:舰种 &lt;= 8) || TALENT:SHIPID:主炮装备 &gt;=2</t>
  </si>
  <si>
    <t>SIF (BASE:SHIPID:舰种 &gt;= 2 &amp;&amp; BASE:SHIPID:舰种 &lt;= 8) || BASE:SHIPID:種族 == 80 || TALENT:SHIPID:主炮装备&gt;=2</t>
  </si>
  <si>
    <t>SIF BASE:SHIPID:舰种 == 7 || BASE:SHIPID:舰种 == 8 || BASE:SHIPID:種族 == 80 || TALENT:SHIPID:主炮装备 &gt;=4</t>
  </si>
  <si>
    <t>SIF BASE:SHIPID:舰种 == 7 || BASE:SHIPID:舰种 == 8 || TALENT:SHIPID:主炮装备 &gt;=4</t>
  </si>
  <si>
    <t>SIF CFLAG:SHIPID:1932 &gt; 0</t>
  </si>
  <si>
    <t>SIF (BASE:SHIPID:舰种 &gt;= 2 &amp;&amp; BASE:SHIPID:舰种 &lt;= 8) || TALENT:SHIPID:炮战潜艇 || TALENT:SHIPID:主炮装备 &gt;= 2</t>
  </si>
  <si>
    <t>SIF BASE:SHIPID:舰种 == 1 || BASE:SHIPID:舰种 == 2 || BASE:SHIPID:舰种 == 4 || BASE:SHIPID:舰种 == 6 || BASE:SHIPID:舰种 == 10 || TALENT:SHIPID:护卫空母</t>
  </si>
  <si>
    <t>SIF BASE:SHIPID:舰种 == 1 || BASE:SHIPID:舰种 == 2 || BASE:SHIPID:舰种 == 4 || BASE:SHIPID:舰种 == 6 || BASE:SHIPID:舰种 == 13 || BASE:SHIPID:舰种 == 14 || (BASE:SHIPID:種族 == 245 &amp;&amp; CFLAG:SHIPID:1910 &gt; 0) || (BASE:SHIPID:種族 == 260 &amp;&amp; CFLAG:SHIPID:1910 &gt; 0) || TALENT:SHIPID:护卫空母</t>
  </si>
  <si>
    <t>SIF TALENT:SHIPID:陆基 &gt; 0 &amp;&amp; (BASE:SHIPID:舰种 == 7 || BASE:SHIPID:舰种 == 8 || TALENT:SHIPID:主炮装备 &gt;= 6)</t>
  </si>
  <si>
    <t>SIF TALENT:SHIPID:陆基 &gt; 0 &amp;&amp; (BASE:SHIPID:舰种 == 7 || BASE:SHIPID:舰种 == 8 || TALENT:SHIPID:主炮装备 &gt;=4)</t>
  </si>
  <si>
    <t>SIF (BASE:SHIPID:舰种 == 1 &amp;&amp; TALENT:SHIPID:海防舰 == 0) || BASE:SHIPID:舰种 == 2 || BASE:SHIPID:舰种 == 6 || BASE:SHIPID:舰种 == 3 || BASE:SHIPID:舰种 == 5 || BASE:SHIPID:舰种 == 7 || BASE:SHIPID:舰种 == 8 || BASE:SHIPID:舰种 == 10</t>
  </si>
  <si>
    <t>SIF TALENT:SHIPID:飞机场 &gt; 2</t>
  </si>
  <si>
    <t>SIF (BASE:SHIPID:舰种 &gt;= 2 &amp;&amp; BASE:SHIPID:舰种 &lt;= 8) || BASE:SHIPID:種族 == 80 || TALENT:SHIPID:主炮装备 &gt;=2</t>
  </si>
  <si>
    <t>SIF TALENT:SHIPID:陆基 &gt; 0</t>
  </si>
  <si>
    <t>SIF TALENT:SHIPID:飞行艇母舰 || TALENT:SHIPID:飞机场 &gt; 2</t>
  </si>
  <si>
    <t>潜水ソ級</t>
    <phoneticPr fontId="6" type="noConversion"/>
  </si>
  <si>
    <t>因为航空战打不出伤害故把爆装转移到火力</t>
  </si>
  <si>
    <t>否则航空战仍然有像样的伤害</t>
  </si>
  <si>
    <t>布呂,雷 闪避+0, 垂直破甲+15% 水平破甲+15%</t>
  </si>
  <si>
    <t>VV索敌+0, 运+5</t>
  </si>
  <si>
    <t>Kent装甲+2命中+5索敌+2运+5</t>
  </si>
  <si>
    <t>Bis, Cossack, ArkRoyal 运-0 装甲+2</t>
  </si>
  <si>
    <t>Hood装甲+6命中+3</t>
  </si>
  <si>
    <t>標槍火力+0 雷装+16 装甲+5 垂直破甲+15% 丛云,龍田,松風 火力+0 雷装+13 垂直破甲+15% 潮 火力+3 雷装+13 装甲+5 闪避+5 对潜+4 垂直破甲+15%</t>
  </si>
  <si>
    <t>如月F2 雷装+15 对空+8 垂直破甲+20% 射程短 高角炮</t>
  </si>
  <si>
    <t>天龍 皐月 神風 火力+5 雷装+12 垂直破甲+15% 神通 idol青叶 火力+13 雷装+4 垂直破甲+15%</t>
  </si>
  <si>
    <t>垂直破甲+10%, 豺 雷装+11 命中+2 垂直破甲+25% 猫三小 雷装+11</t>
  </si>
  <si>
    <t>London</t>
  </si>
  <si>
    <t>雷装上限不為0 雷装+3</t>
  </si>
  <si>
    <t>時雨火力雷装装甲闪避+10対空対潜索敵命中+10 垂直破甲+20% 水平破甲+20%, 其他手套驅逐減半至四分一不等</t>
  </si>
  <si>
    <t>嵐  睦月級 火力+5 雷装+10 对潜+10 命中+2 索敌+5</t>
  </si>
  <si>
    <t>TALENT:歌唱技能 闪避-0 对潜+13 火力+8 対空+3 垂直破甲+20% idol青叶 闪避-0 对潜+16 火力+10 対空+4 垂直破甲+25%</t>
  </si>
  <si>
    <t>村雨雷装+10装甲+10闪避+10命中+1垂直破甲+20% 春雨(驅逐棲姬)雷装+15命中+1 水平破甲+25%</t>
  </si>
  <si>
    <t>鲸改火力+3对空+20闪避+3索敌+6 战斗机 高倍率 加加火力+10,对空+3 高角炮</t>
  </si>
  <si>
    <t>巫女 火力+10 对空+7 闪避+4 命中+4 爆装+3 飞机用雷装+3</t>
  </si>
  <si>
    <t>春风 中二 雷装+8装甲+9闪避+9命中+2 垂直破甲+15% 五河大风 火力+8装甲+9闪避+9命中+2 垂直破甲+15%
MUGEN的最强武器，在会用的人手上，会有刀，机枪及倒酱油的功能</t>
  </si>
  <si>
    <t>奥丁 標槍 雷装+15 命中+6 垂直破甲+20%,潮 火力+6 雷装+11 命中+6 闪避+0 垂直破甲+25% 射程中</t>
  </si>
  <si>
    <t>主炮装备 的 小船 适重等级5</t>
  </si>
  <si>
    <t>女神效果 贞德 装甲+10 运+20 垂直破甲+15%</t>
  </si>
  <si>
    <t>沃克兰</t>
  </si>
  <si>
    <t>不知道为什么，戴在头上会减少被敌人发现的概率（敌方索敌成功率-10%）</t>
  </si>
  <si>
    <t>自身获得的经验值加倍</t>
  </si>
  <si>
    <t>酒鬼 闪避+20 幸运+20 "只有酒的回避变高了"</t>
  </si>
  <si>
    <t>種別ID按舰种改变, 可在打洞增設</t>
  </si>
  <si>
    <t>SIF BASE:SHIPID:舰种 == 1 || BASE:SHIPID:舰种 == 2 || BASE:SHIPID:舰种 == 4 || BASE:SHIPID:舰种 == 6</t>
  </si>
  <si>
    <t>SIF BASE:SHIPID:舰种 &lt;= 6</t>
  </si>
  <si>
    <t>SIF BASE:SHIPID:舰种 == 1</t>
  </si>
  <si>
    <t>SIF TALENT:SHIPID:导弹装备</t>
  </si>
  <si>
    <t>SIF BASE:SHIPID:舰种 == 7 || BASE:SHIPID:舰种 == 8 || (BASE:SHIPID:種族 == 80) || TALENT:SHIPID:主炮装备 &gt;=4</t>
  </si>
  <si>
    <t>SIF TALENT:SHIPID:主炮装备 &gt;= 6</t>
  </si>
  <si>
    <t>SIF BASE:SHIPID:舰种 == 7 || BASE:SHIPID:舰种 == 8 || TALENT:SHIPID:主炮装备&gt;=4</t>
  </si>
  <si>
    <t>SIF TALENT:SHIPID:弹射器 || TALENT:SHIPID:飞机场 &gt; 1</t>
  </si>
  <si>
    <t>SIF BASE:SHIPID:舰种 == 9 || BASE:SHIPID:舰种 == 11 || BASE:SHIPID:舰种 == 12 || BASE:SHIPID:舰种 == 15 || BASE:SHIPID:種族 == 709 || TALENT:SHIPID:飞机场</t>
  </si>
  <si>
    <t>SIF TALENT:SHIPID:飞机场 &gt; 1</t>
  </si>
  <si>
    <t>SIF BASE:SHIPID:舰种 == 9 || BASE:SHIPID:舰种 == 11 || BASE:SHIPID:舰种 == 12</t>
  </si>
  <si>
    <t>SIF BASE:SHIPID:舰种 &lt;= 8 || BASE:SHIPID:舰种 == 10 || BASE:SHIPID:舰种 == 18</t>
  </si>
  <si>
    <t>SIF BASE:SHIPID:舰种 == 7 || BASE:SHIPID:舰种 == 8 || TALENT:SHIPID:主炮装备 &gt;=5</t>
  </si>
  <si>
    <t>TALENT:SHIPID:主炮装备 &gt;=6</t>
  </si>
  <si>
    <t>SIF BASE:SHIPID:舰种 == 7 || BASE:SHIPID:舰种 == 8 || BASE:SHIPID:種族 == 80 || TALENT:SHIPID:主炮装备&gt;=3</t>
  </si>
  <si>
    <r>
      <t>Obannon</t>
    </r>
    <r>
      <rPr>
        <sz val="10"/>
        <color theme="1"/>
        <rFont val="細明體"/>
        <family val="3"/>
        <charset val="136"/>
      </rPr>
      <t>对潜</t>
    </r>
    <r>
      <rPr>
        <sz val="10"/>
        <color theme="1"/>
        <rFont val="Arial"/>
        <family val="2"/>
        <charset val="136"/>
      </rPr>
      <t>+13</t>
    </r>
    <phoneticPr fontId="2" type="noConversion"/>
  </si>
  <si>
    <r>
      <rPr>
        <sz val="10"/>
        <color theme="1"/>
        <rFont val="細明體"/>
        <family val="3"/>
        <charset val="136"/>
      </rPr>
      <t>螢</t>
    </r>
    <r>
      <rPr>
        <sz val="10"/>
        <color theme="1"/>
        <rFont val="Arial"/>
        <family val="2"/>
        <charset val="136"/>
      </rPr>
      <t xml:space="preserve"> </t>
    </r>
    <r>
      <rPr>
        <sz val="10"/>
        <color theme="1"/>
        <rFont val="細明體"/>
        <family val="3"/>
        <charset val="136"/>
      </rPr>
      <t>火力</t>
    </r>
    <r>
      <rPr>
        <sz val="10"/>
        <color theme="1"/>
        <rFont val="Arial"/>
        <family val="2"/>
        <charset val="136"/>
      </rPr>
      <t xml:space="preserve">+3 </t>
    </r>
    <r>
      <rPr>
        <sz val="10"/>
        <color theme="1"/>
        <rFont val="細明體"/>
        <family val="3"/>
        <charset val="136"/>
      </rPr>
      <t>对空</t>
    </r>
    <r>
      <rPr>
        <sz val="10"/>
        <color theme="1"/>
        <rFont val="Arial"/>
        <family val="2"/>
        <charset val="136"/>
      </rPr>
      <t xml:space="preserve">+2 </t>
    </r>
    <r>
      <rPr>
        <sz val="10"/>
        <color theme="1"/>
        <rFont val="細明體"/>
        <family val="3"/>
        <charset val="136"/>
      </rPr>
      <t>闪避</t>
    </r>
    <r>
      <rPr>
        <sz val="10"/>
        <color theme="1"/>
        <rFont val="Arial"/>
        <family val="2"/>
        <charset val="136"/>
      </rPr>
      <t xml:space="preserve">+2 </t>
    </r>
    <phoneticPr fontId="2" type="noConversion"/>
  </si>
  <si>
    <r>
      <rPr>
        <sz val="10"/>
        <color theme="1"/>
        <rFont val="細明體"/>
        <family val="3"/>
        <charset val="136"/>
      </rPr>
      <t>紫石英</t>
    </r>
    <r>
      <rPr>
        <sz val="10"/>
        <color theme="1"/>
        <rFont val="Arial"/>
        <family val="2"/>
        <charset val="136"/>
      </rPr>
      <t xml:space="preserve"> </t>
    </r>
    <r>
      <rPr>
        <sz val="10"/>
        <color theme="1"/>
        <rFont val="細明體"/>
        <family val="3"/>
        <charset val="136"/>
      </rPr>
      <t>火力</t>
    </r>
    <r>
      <rPr>
        <sz val="10"/>
        <color theme="1"/>
        <rFont val="Arial"/>
        <family val="2"/>
        <charset val="136"/>
      </rPr>
      <t xml:space="preserve">+8 </t>
    </r>
    <r>
      <rPr>
        <sz val="10"/>
        <color theme="1"/>
        <rFont val="細明體"/>
        <family val="3"/>
        <charset val="136"/>
      </rPr>
      <t>対空</t>
    </r>
    <r>
      <rPr>
        <sz val="10"/>
        <color theme="1"/>
        <rFont val="Arial"/>
        <family val="2"/>
        <charset val="136"/>
      </rPr>
      <t xml:space="preserve">+15 </t>
    </r>
    <r>
      <rPr>
        <sz val="10"/>
        <color theme="1"/>
        <rFont val="細明體"/>
        <family val="3"/>
        <charset val="136"/>
      </rPr>
      <t>对空倍率</t>
    </r>
    <r>
      <rPr>
        <sz val="10"/>
        <color theme="1"/>
        <rFont val="Arial"/>
        <family val="2"/>
        <charset val="136"/>
      </rPr>
      <t>(4,35)</t>
    </r>
    <phoneticPr fontId="2" type="noConversion"/>
  </si>
  <si>
    <t>ID</t>
  </si>
  <si>
    <t>ID</t>
    <phoneticPr fontId="2" type="noConversion"/>
  </si>
  <si>
    <t>装備名</t>
  </si>
  <si>
    <t>番号</t>
  </si>
  <si>
    <t>名前</t>
  </si>
  <si>
    <t>呼び名</t>
  </si>
  <si>
    <t>基礎</t>
    <phoneticPr fontId="2" type="noConversion"/>
  </si>
  <si>
    <t>体力</t>
    <phoneticPr fontId="2" type="noConversion"/>
  </si>
  <si>
    <t>気力</t>
    <phoneticPr fontId="2" type="noConversion"/>
  </si>
  <si>
    <t>種族</t>
    <phoneticPr fontId="2" type="noConversion"/>
  </si>
  <si>
    <t>外見年齢</t>
    <phoneticPr fontId="2" type="noConversion"/>
  </si>
  <si>
    <t>素質</t>
    <phoneticPr fontId="2" type="noConversion"/>
  </si>
  <si>
    <t>国籍</t>
    <phoneticPr fontId="2" type="noConversion"/>
  </si>
  <si>
    <t>个性</t>
    <phoneticPr fontId="2" type="noConversion"/>
  </si>
  <si>
    <t>舰种</t>
    <phoneticPr fontId="2" type="noConversion"/>
  </si>
  <si>
    <t>适重</t>
  </si>
  <si>
    <t>适重</t>
    <phoneticPr fontId="2" type="noConversion"/>
  </si>
  <si>
    <t>最大耐久</t>
    <phoneticPr fontId="2" type="noConversion"/>
  </si>
  <si>
    <t>耐久</t>
    <phoneticPr fontId="2" type="noConversion"/>
  </si>
  <si>
    <t>火力</t>
    <phoneticPr fontId="2" type="noConversion"/>
  </si>
  <si>
    <t>装甲</t>
    <phoneticPr fontId="2" type="noConversion"/>
  </si>
  <si>
    <t>雷装</t>
    <phoneticPr fontId="2" type="noConversion"/>
  </si>
  <si>
    <t>回避</t>
    <phoneticPr fontId="2" type="noConversion"/>
  </si>
  <si>
    <t>对空</t>
  </si>
  <si>
    <t>对潜</t>
  </si>
  <si>
    <t>速度</t>
  </si>
  <si>
    <t>索敌</t>
  </si>
  <si>
    <t>运气</t>
  </si>
  <si>
    <t>装备1</t>
  </si>
  <si>
    <t>装备2</t>
  </si>
  <si>
    <t>搭载1</t>
    <phoneticPr fontId="2" type="noConversion"/>
  </si>
  <si>
    <t>搭载2</t>
  </si>
  <si>
    <t>搭载3</t>
  </si>
  <si>
    <t>搭载4</t>
  </si>
  <si>
    <t>装备3</t>
  </si>
  <si>
    <t>装备4</t>
  </si>
  <si>
    <t>改</t>
  </si>
  <si>
    <t>Hood</t>
  </si>
  <si>
    <t>胡德</t>
  </si>
  <si>
    <t>最大</t>
    <phoneticPr fontId="2" type="noConversion"/>
  </si>
  <si>
    <r>
      <t>SUM</t>
    </r>
    <r>
      <rPr>
        <sz val="10"/>
        <color theme="1"/>
        <rFont val="細明體"/>
        <family val="3"/>
        <charset val="136"/>
      </rPr>
      <t>最大</t>
    </r>
    <phoneticPr fontId="6" type="noConversion"/>
  </si>
  <si>
    <t>长门</t>
  </si>
  <si>
    <t>搭载</t>
    <phoneticPr fontId="2" type="noConversion"/>
  </si>
  <si>
    <t>陆奥</t>
  </si>
  <si>
    <t>伊势</t>
  </si>
  <si>
    <t>日向</t>
  </si>
  <si>
    <t>雪风</t>
  </si>
  <si>
    <t>赤城</t>
  </si>
  <si>
    <t>加贺</t>
  </si>
  <si>
    <t>苍龙</t>
  </si>
  <si>
    <t>飞龙</t>
  </si>
  <si>
    <t>岛风</t>
  </si>
  <si>
    <t>吹雪</t>
  </si>
  <si>
    <t>白雪</t>
  </si>
  <si>
    <t>初雪</t>
  </si>
  <si>
    <t>深雪</t>
  </si>
  <si>
    <t>丛云</t>
  </si>
  <si>
    <t>矶波</t>
  </si>
  <si>
    <t>绫波</t>
  </si>
  <si>
    <t>敷波</t>
  </si>
  <si>
    <t>大井</t>
  </si>
  <si>
    <t>北上</t>
  </si>
  <si>
    <t>金刚</t>
  </si>
  <si>
    <t>比叡</t>
  </si>
  <si>
    <t>榛名</t>
  </si>
  <si>
    <t>雾岛</t>
  </si>
  <si>
    <t>凤翔</t>
  </si>
  <si>
    <t>扶桑</t>
  </si>
  <si>
    <t>山城</t>
  </si>
  <si>
    <t>天龙</t>
  </si>
  <si>
    <t>龙田</t>
  </si>
  <si>
    <t>龙骧</t>
  </si>
  <si>
    <t>睦月</t>
  </si>
  <si>
    <t>如月</t>
  </si>
  <si>
    <t>皐月</t>
  </si>
  <si>
    <t>文月</t>
  </si>
  <si>
    <t>长月</t>
  </si>
  <si>
    <t>菊月</t>
  </si>
  <si>
    <t>三日月</t>
  </si>
  <si>
    <t>望月</t>
  </si>
  <si>
    <t>球磨</t>
  </si>
  <si>
    <t>多摩</t>
  </si>
  <si>
    <t>木曾</t>
  </si>
  <si>
    <t>长良</t>
  </si>
  <si>
    <t>五十铃</t>
  </si>
  <si>
    <t>名取</t>
  </si>
  <si>
    <t>由良</t>
  </si>
  <si>
    <t>川内</t>
  </si>
  <si>
    <t>神通</t>
  </si>
  <si>
    <t>那珂</t>
  </si>
  <si>
    <t>千岁</t>
  </si>
  <si>
    <t>千代田</t>
  </si>
  <si>
    <t>最上</t>
  </si>
  <si>
    <t>古鹰</t>
  </si>
  <si>
    <t>加古</t>
  </si>
  <si>
    <t>青叶</t>
  </si>
  <si>
    <t>妙高</t>
  </si>
  <si>
    <t>那智</t>
  </si>
  <si>
    <t>足柄</t>
  </si>
  <si>
    <t>羽黑</t>
  </si>
  <si>
    <t>高雄</t>
  </si>
  <si>
    <t>爱宕</t>
  </si>
  <si>
    <t>摩耶</t>
  </si>
  <si>
    <t>鸟海</t>
  </si>
  <si>
    <t>利根</t>
  </si>
  <si>
    <t>筑摩</t>
  </si>
  <si>
    <t>飞鹰</t>
  </si>
  <si>
    <t>隼鹰</t>
  </si>
  <si>
    <t>胧</t>
  </si>
  <si>
    <t>曙</t>
  </si>
  <si>
    <t>涟</t>
  </si>
  <si>
    <t>潮</t>
  </si>
  <si>
    <t>晓</t>
  </si>
  <si>
    <t>响</t>
  </si>
  <si>
    <t>雷</t>
  </si>
  <si>
    <t>电</t>
  </si>
  <si>
    <t>初春</t>
  </si>
  <si>
    <t>子日</t>
  </si>
  <si>
    <t>若叶</t>
  </si>
  <si>
    <t>初霜</t>
  </si>
  <si>
    <t>白露</t>
  </si>
  <si>
    <t>时雨</t>
  </si>
  <si>
    <t>村雨</t>
  </si>
  <si>
    <t>夕立</t>
  </si>
  <si>
    <t>五月雨</t>
  </si>
  <si>
    <t>凉风</t>
  </si>
  <si>
    <t>朝潮</t>
  </si>
  <si>
    <t>大潮</t>
  </si>
  <si>
    <t>满潮</t>
  </si>
  <si>
    <t>荒潮</t>
  </si>
  <si>
    <t>霰</t>
  </si>
  <si>
    <t>霞</t>
  </si>
  <si>
    <t>阳炎</t>
  </si>
  <si>
    <t>不知火</t>
  </si>
  <si>
    <t>黑潮</t>
  </si>
  <si>
    <t>祥凤</t>
  </si>
  <si>
    <t>翔鹤</t>
  </si>
  <si>
    <t>瑞鹤</t>
  </si>
  <si>
    <t>鬼怒</t>
  </si>
  <si>
    <t>阿武隈</t>
  </si>
  <si>
    <t>夕张</t>
  </si>
  <si>
    <t>瑞凤</t>
  </si>
  <si>
    <t>三隈</t>
  </si>
  <si>
    <t>初风</t>
  </si>
  <si>
    <t>舞风</t>
  </si>
  <si>
    <t>衣笠</t>
  </si>
  <si>
    <t>伊19</t>
  </si>
  <si>
    <t>铃谷</t>
  </si>
  <si>
    <t>熊野</t>
  </si>
  <si>
    <t>伊168</t>
  </si>
  <si>
    <t>伊58</t>
  </si>
  <si>
    <t>伊8</t>
  </si>
  <si>
    <t>大和</t>
  </si>
  <si>
    <t>秋云</t>
  </si>
  <si>
    <t>夕云</t>
  </si>
  <si>
    <t>卷云</t>
  </si>
  <si>
    <t>长波</t>
  </si>
  <si>
    <t>阿贺野</t>
  </si>
  <si>
    <t>能代</t>
  </si>
  <si>
    <t>矢矧</t>
  </si>
  <si>
    <t>酒匂</t>
  </si>
  <si>
    <t>武藏</t>
  </si>
  <si>
    <t>大凤</t>
  </si>
  <si>
    <t>香取</t>
  </si>
  <si>
    <t>伊401</t>
  </si>
  <si>
    <t>秋津丸</t>
  </si>
  <si>
    <t>神威</t>
  </si>
  <si>
    <t>まるゆ</t>
  </si>
  <si>
    <t>弥生</t>
  </si>
  <si>
    <t>卯月</t>
  </si>
  <si>
    <t>矶风</t>
  </si>
  <si>
    <t>浦风</t>
  </si>
  <si>
    <t>谷风</t>
  </si>
  <si>
    <t>浜风</t>
  </si>
  <si>
    <t>Bismarck</t>
  </si>
  <si>
    <t>俾斯麦</t>
  </si>
  <si>
    <t>Z1</t>
  </si>
  <si>
    <t>莱伯勒</t>
  </si>
  <si>
    <t>Z3</t>
  </si>
  <si>
    <t>马克斯</t>
  </si>
  <si>
    <t>欧根亲王</t>
  </si>
  <si>
    <t>天津风</t>
  </si>
  <si>
    <t>明石</t>
  </si>
  <si>
    <t>大淀</t>
  </si>
  <si>
    <t>大鲸</t>
  </si>
  <si>
    <t>时津风</t>
  </si>
  <si>
    <t>云龙</t>
  </si>
  <si>
    <t>天城</t>
  </si>
  <si>
    <t>葛城</t>
  </si>
  <si>
    <t>春雨</t>
  </si>
  <si>
    <t>早霜</t>
  </si>
  <si>
    <t>清霜</t>
  </si>
  <si>
    <t>朝云</t>
  </si>
  <si>
    <t>山云</t>
  </si>
  <si>
    <t>野分</t>
  </si>
  <si>
    <t>秋月</t>
  </si>
  <si>
    <t>照月</t>
  </si>
  <si>
    <t>初月</t>
  </si>
  <si>
    <t>高波</t>
  </si>
  <si>
    <t>朝霜</t>
  </si>
  <si>
    <t>U-511</t>
  </si>
  <si>
    <t>齐柏林</t>
  </si>
  <si>
    <t>Saratoga</t>
  </si>
  <si>
    <t>Warspite</t>
  </si>
  <si>
    <t>Iowa</t>
  </si>
  <si>
    <t>Littorio</t>
  </si>
  <si>
    <t>Roma</t>
  </si>
  <si>
    <t>Libeccio</t>
  </si>
  <si>
    <t>Aquila</t>
  </si>
  <si>
    <t>秋津洲</t>
  </si>
  <si>
    <t>Zara</t>
  </si>
  <si>
    <t>Pola</t>
  </si>
  <si>
    <t>瑞穗</t>
  </si>
  <si>
    <t>沖波</t>
  </si>
  <si>
    <t>风云</t>
  </si>
  <si>
    <t>岚</t>
  </si>
  <si>
    <t>萩风</t>
  </si>
  <si>
    <t>亲潮</t>
  </si>
  <si>
    <t>山风</t>
  </si>
  <si>
    <t>海风</t>
  </si>
  <si>
    <t>江风</t>
  </si>
  <si>
    <t>速吸</t>
  </si>
  <si>
    <t>鹿岛</t>
  </si>
  <si>
    <t>神风</t>
  </si>
  <si>
    <t>朝风</t>
  </si>
  <si>
    <t>春风</t>
  </si>
  <si>
    <t>松风</t>
  </si>
  <si>
    <t>水无月</t>
  </si>
  <si>
    <t>伊26</t>
  </si>
  <si>
    <t>藤波</t>
  </si>
  <si>
    <t>浦波</t>
  </si>
  <si>
    <t>Teste</t>
  </si>
  <si>
    <t>伊13</t>
  </si>
  <si>
    <t>伊14</t>
  </si>
  <si>
    <t>Гангут</t>
  </si>
  <si>
    <t>甘古特</t>
  </si>
  <si>
    <t>占守</t>
  </si>
  <si>
    <t>国後</t>
  </si>
  <si>
    <t>春日丸</t>
  </si>
  <si>
    <t>択捉</t>
  </si>
  <si>
    <t>驱逐イ级</t>
  </si>
  <si>
    <t>驱逐ロ级</t>
  </si>
  <si>
    <t>驱逐ハ级</t>
  </si>
  <si>
    <t>驱逐ニ级</t>
  </si>
  <si>
    <t>轻巡ホ级</t>
  </si>
  <si>
    <t>轻巡ヘ级</t>
  </si>
  <si>
    <t>轻巡ト级</t>
  </si>
  <si>
    <t>雷巡チ级</t>
  </si>
  <si>
    <t>重巡リ级</t>
  </si>
  <si>
    <t>轻母ヌ级</t>
  </si>
  <si>
    <t>战舰ル级</t>
  </si>
  <si>
    <t>空母ヲ级</t>
  </si>
  <si>
    <t>输送ワ级</t>
  </si>
  <si>
    <t>潜水カ级</t>
  </si>
  <si>
    <t>潜水ヨ级</t>
  </si>
  <si>
    <t>浮游要塞</t>
  </si>
  <si>
    <t>泊地栖鬼</t>
  </si>
  <si>
    <t>泊地栖姬</t>
  </si>
  <si>
    <t>战舰タ级</t>
  </si>
  <si>
    <t>装甲空母鬼</t>
  </si>
  <si>
    <t>装甲空母姬</t>
  </si>
  <si>
    <t>南方栖鬼</t>
  </si>
  <si>
    <t>南方栖战鬼</t>
  </si>
  <si>
    <t>南方栖战姬</t>
  </si>
  <si>
    <t>护卫要塞</t>
  </si>
  <si>
    <t>飞行场姬</t>
  </si>
  <si>
    <t>战舰栖姬</t>
  </si>
  <si>
    <t>战舰レ级</t>
  </si>
  <si>
    <t>重巡リ级改</t>
  </si>
  <si>
    <t>潜水ソ级</t>
  </si>
  <si>
    <t>港湾栖姬</t>
  </si>
  <si>
    <t>离岛栖鬼</t>
  </si>
  <si>
    <t>驱逐イ级后期型</t>
  </si>
  <si>
    <t>驱逐ロ级后期型</t>
  </si>
  <si>
    <t>驱逐ハ级后期型</t>
  </si>
  <si>
    <t>驱逐二级后期型</t>
  </si>
  <si>
    <t>北方栖姬</t>
  </si>
  <si>
    <t>中间栖姬</t>
  </si>
  <si>
    <t>空母栖鬼</t>
  </si>
  <si>
    <t>空母栖姬</t>
  </si>
  <si>
    <t>轻巡ツ级</t>
  </si>
  <si>
    <t>重巡ネ级</t>
  </si>
  <si>
    <t>重巡ネ级elite</t>
  </si>
  <si>
    <t>驱逐栖姬</t>
  </si>
  <si>
    <t>空母水鬼</t>
  </si>
  <si>
    <t>轻巡栖鬼</t>
  </si>
  <si>
    <t>战舰水鬼</t>
  </si>
  <si>
    <t>港湾水鬼</t>
  </si>
  <si>
    <t>泊地水鬼</t>
  </si>
  <si>
    <t>空母ヲ级flagship</t>
  </si>
  <si>
    <t>空母ヲ级改flagship</t>
  </si>
  <si>
    <t>驱逐イ级后期型elite</t>
  </si>
  <si>
    <t>驱逐ロ级后期型elite</t>
  </si>
  <si>
    <t>驱逐ハ级后期型elite</t>
  </si>
  <si>
    <t>驱逐ニ级后期型elite</t>
  </si>
  <si>
    <t>水母栖姬</t>
  </si>
  <si>
    <t>防空栖姬</t>
  </si>
  <si>
    <t>PT小鬼群</t>
  </si>
  <si>
    <t>轻巡栖姬</t>
  </si>
  <si>
    <t>潜水栖姬</t>
  </si>
  <si>
    <t>驱逐水鬼</t>
  </si>
  <si>
    <t>集积地栖姬</t>
  </si>
  <si>
    <t>集积地栖姬-坏</t>
  </si>
  <si>
    <t>重巡栖姬</t>
  </si>
  <si>
    <t>炮台小鬼</t>
  </si>
  <si>
    <t>离岛栖姬</t>
  </si>
  <si>
    <t>驱逐古鬼</t>
  </si>
  <si>
    <t>イオナ</t>
  </si>
  <si>
    <t>タカオ</t>
  </si>
  <si>
    <t>ハルナ</t>
  </si>
  <si>
    <t>ナガラ级</t>
  </si>
  <si>
    <t>マヤ</t>
  </si>
  <si>
    <t>キリシマ</t>
  </si>
  <si>
    <t>コンゴウ</t>
  </si>
  <si>
    <t>驱逐古姬</t>
  </si>
  <si>
    <t>Tirpitz</t>
  </si>
  <si>
    <t>提尔比茨</t>
  </si>
  <si>
    <t>安德莉亞．多利亞</t>
  </si>
  <si>
    <t>Renown</t>
  </si>
  <si>
    <t>声望</t>
  </si>
  <si>
    <t>Ranger</t>
  </si>
  <si>
    <t>突击者</t>
  </si>
  <si>
    <t>Quincy</t>
  </si>
  <si>
    <t>昆西</t>
  </si>
  <si>
    <t>Helena</t>
  </si>
  <si>
    <t>海伦娜</t>
  </si>
  <si>
    <t>Glowworm</t>
  </si>
  <si>
    <t>萤火虫</t>
  </si>
  <si>
    <t>Juno</t>
  </si>
  <si>
    <t>天后</t>
  </si>
  <si>
    <t>Amethyst</t>
  </si>
  <si>
    <t>紫石英</t>
  </si>
  <si>
    <t>維內托</t>
  </si>
  <si>
    <t>Richelieu</t>
  </si>
  <si>
    <t>黎塞留</t>
  </si>
  <si>
    <t>Thatcher</t>
  </si>
  <si>
    <t>撒切尔</t>
  </si>
  <si>
    <t>沙利文</t>
  </si>
  <si>
    <t>Sigsbee</t>
  </si>
  <si>
    <t>西格斯比</t>
  </si>
  <si>
    <t>Lexington</t>
  </si>
  <si>
    <t>列克星敦</t>
  </si>
  <si>
    <t>萨拉托加</t>
  </si>
  <si>
    <t>Nelson</t>
  </si>
  <si>
    <t>纳尔逊</t>
  </si>
  <si>
    <t>Rodney</t>
  </si>
  <si>
    <t>罗德尼</t>
  </si>
  <si>
    <t>新奥尔良</t>
  </si>
  <si>
    <t>希佩尔</t>
  </si>
  <si>
    <t>Blücher</t>
  </si>
  <si>
    <t>布吕歇尔</t>
  </si>
  <si>
    <t>Z31</t>
  </si>
  <si>
    <t>Jackel</t>
  </si>
  <si>
    <t>黑背豺</t>
  </si>
  <si>
    <t>空想</t>
  </si>
  <si>
    <t>O'Bannon</t>
  </si>
  <si>
    <t>奥班农</t>
  </si>
  <si>
    <t>Enterprise</t>
  </si>
  <si>
    <t>企业</t>
  </si>
  <si>
    <t>Essex</t>
  </si>
  <si>
    <t>埃塞克斯</t>
  </si>
  <si>
    <t>Princeton</t>
  </si>
  <si>
    <t>普林斯顿</t>
  </si>
  <si>
    <t>Albacore</t>
  </si>
  <si>
    <t>大青花鱼</t>
  </si>
  <si>
    <t>宁海</t>
  </si>
  <si>
    <t>平海</t>
  </si>
  <si>
    <t>Repulse</t>
  </si>
  <si>
    <t>反击</t>
  </si>
  <si>
    <t>Z16</t>
  </si>
  <si>
    <t>弗利德</t>
  </si>
  <si>
    <t>伦敦</t>
  </si>
  <si>
    <t>Gearing</t>
  </si>
  <si>
    <t>基林</t>
  </si>
  <si>
    <t>Köln</t>
  </si>
  <si>
    <t>科隆</t>
  </si>
  <si>
    <t>皇家方舟</t>
  </si>
  <si>
    <t>伊丽莎白</t>
  </si>
  <si>
    <t>Colorado</t>
  </si>
  <si>
    <t>科罗拉多</t>
  </si>
  <si>
    <t>南达科他</t>
  </si>
  <si>
    <t>Z17</t>
  </si>
  <si>
    <t>迪特</t>
  </si>
  <si>
    <t>Z18</t>
  </si>
  <si>
    <t>汉斯</t>
  </si>
  <si>
    <t>Northampton</t>
  </si>
  <si>
    <t>北安普顿</t>
  </si>
  <si>
    <t>Arethusa</t>
  </si>
  <si>
    <t>林仙</t>
  </si>
  <si>
    <t>贞德</t>
  </si>
  <si>
    <t>Vauquelin</t>
  </si>
  <si>
    <t>Vestal</t>
  </si>
  <si>
    <t>维斯塔</t>
  </si>
  <si>
    <t>Javelin</t>
  </si>
  <si>
    <t>标枪</t>
  </si>
  <si>
    <t>Archerfish</t>
  </si>
  <si>
    <t>射水鱼</t>
  </si>
  <si>
    <t>Kent</t>
  </si>
  <si>
    <t>肯特</t>
  </si>
  <si>
    <t>Gneisenau</t>
  </si>
  <si>
    <t>格奈森瑙</t>
  </si>
  <si>
    <t>Atlanta</t>
  </si>
  <si>
    <t>亚特兰大</t>
  </si>
  <si>
    <t>Omaha</t>
  </si>
  <si>
    <t>奥马哈</t>
  </si>
  <si>
    <t>Converse</t>
  </si>
  <si>
    <t>康弗斯</t>
  </si>
  <si>
    <t>Dyson</t>
  </si>
  <si>
    <t>戴森</t>
  </si>
  <si>
    <t>Claxton</t>
  </si>
  <si>
    <t>克拉克斯顿</t>
  </si>
  <si>
    <t>Maryland</t>
  </si>
  <si>
    <t>马里兰</t>
  </si>
  <si>
    <t>信浓</t>
  </si>
  <si>
    <t>Surcouf</t>
  </si>
  <si>
    <t>絮库夫</t>
  </si>
  <si>
    <t>卡约·杜伊里奥</t>
  </si>
  <si>
    <t>Courageous</t>
  </si>
  <si>
    <t>勇敢</t>
  </si>
  <si>
    <t>Belfast</t>
  </si>
  <si>
    <t>贝尔法斯特</t>
  </si>
  <si>
    <t>Reshitelnyy</t>
  </si>
  <si>
    <t>果敢</t>
  </si>
  <si>
    <t>Chaser</t>
  </si>
  <si>
    <t>追赶者</t>
  </si>
  <si>
    <t>Bogue</t>
  </si>
  <si>
    <t>博格</t>
  </si>
  <si>
    <t>Deutschland</t>
  </si>
  <si>
    <t>德意志</t>
  </si>
  <si>
    <t>Antonio</t>
  </si>
  <si>
    <t>Ugolino</t>
  </si>
  <si>
    <t>Barfleur</t>
  </si>
  <si>
    <t>巴夫勒尔</t>
  </si>
  <si>
    <t>Heermann</t>
  </si>
  <si>
    <t>希尔曼</t>
  </si>
  <si>
    <t>Suffolk</t>
  </si>
  <si>
    <t>萨福克</t>
  </si>
  <si>
    <t>U-96</t>
  </si>
  <si>
    <t>靶舰一型</t>
  </si>
  <si>
    <t>驱逐Α级Ⅰ型</t>
  </si>
  <si>
    <t>驱逐Β级Ⅰ型</t>
  </si>
  <si>
    <t>驱逐Γ级Ⅰ型</t>
  </si>
  <si>
    <t>驱逐Δ级Ⅰ型</t>
  </si>
  <si>
    <t>轻巡Ε级Ⅰ型</t>
  </si>
  <si>
    <t>轻巡Ζ级Ⅰ型</t>
  </si>
  <si>
    <t>轻巡Η级Ⅰ型</t>
  </si>
  <si>
    <t>雷巡Θ级Ⅰ型</t>
  </si>
  <si>
    <t>重巡Ι级Ⅰ型</t>
  </si>
  <si>
    <t>轻母Ξ级Ⅰ型</t>
  </si>
  <si>
    <t>战列Λ级Ⅰ型</t>
  </si>
  <si>
    <t>航母Ο级Ⅰ型</t>
  </si>
  <si>
    <t>补给Υ级Ⅰ型</t>
  </si>
  <si>
    <t>驱逐Α级Ⅱ型</t>
  </si>
  <si>
    <t>驱逐Β级Ⅱ型</t>
  </si>
  <si>
    <t>驱逐Γ级Ⅱ型</t>
  </si>
  <si>
    <t>驱逐Δ级Ⅱ型</t>
  </si>
  <si>
    <t>轻巡Ε级Ⅱ型</t>
  </si>
  <si>
    <t>轻巡Ζ级Ⅱ型</t>
  </si>
  <si>
    <t>轻巡Η级Ⅱ型</t>
  </si>
  <si>
    <t>雷巡Θ级Ⅱ型</t>
  </si>
  <si>
    <t>重巡Ι级Ⅱ型</t>
  </si>
  <si>
    <t>轻母Ξ级Ⅱ型</t>
  </si>
  <si>
    <t>战列Λ级Ⅱ型</t>
  </si>
  <si>
    <t>航母Ο级Ⅱ型</t>
  </si>
  <si>
    <t>补给Υ级Ⅱ型</t>
  </si>
  <si>
    <t>重巡Ι级Ⅲ型</t>
  </si>
  <si>
    <t>航母Ο级Ⅲ型</t>
  </si>
  <si>
    <t>战列Λ级Ⅲ型</t>
  </si>
  <si>
    <t>潜艇Π级Ⅰ型</t>
  </si>
  <si>
    <t>潜艇Ρ级Ⅰ型</t>
  </si>
  <si>
    <t>潜艇Π级Ⅱ型</t>
  </si>
  <si>
    <t>潜艇Ρ级Ⅱ型</t>
  </si>
  <si>
    <t>潜艇Π级Ⅲ型</t>
  </si>
  <si>
    <t>潜艇Ρ级Ⅲ型</t>
  </si>
  <si>
    <t>AG</t>
  </si>
  <si>
    <t>吃撑</t>
  </si>
  <si>
    <t>KG</t>
  </si>
  <si>
    <t>喝撑</t>
  </si>
  <si>
    <t>A&amp;K</t>
  </si>
  <si>
    <t>吃喝</t>
  </si>
  <si>
    <t>战列Μ级Ⅰ型</t>
  </si>
  <si>
    <t>战列Μ级Ⅱ型</t>
  </si>
  <si>
    <t>战列Μ级Ⅲ型</t>
  </si>
  <si>
    <t>RJ</t>
  </si>
  <si>
    <t>勇者</t>
  </si>
  <si>
    <t>DY</t>
  </si>
  <si>
    <t>劳模</t>
  </si>
  <si>
    <t>SK</t>
  </si>
  <si>
    <t>跟班</t>
  </si>
  <si>
    <t>ZK</t>
  </si>
  <si>
    <t>院长</t>
  </si>
  <si>
    <t>BB</t>
  </si>
  <si>
    <t>头目</t>
  </si>
  <si>
    <t>YK</t>
  </si>
  <si>
    <t>卧底</t>
  </si>
  <si>
    <t>驱逐Β级Ⅲ型</t>
  </si>
  <si>
    <t>驱逐Γ级Ⅲ型</t>
  </si>
  <si>
    <t>轻巡Ε级Ⅲ型</t>
  </si>
  <si>
    <t>轻巡Ζ级Ⅲ型</t>
  </si>
  <si>
    <t>补给Υ级Ⅲ型</t>
  </si>
  <si>
    <t>雷巡Θ级Ⅲ型</t>
  </si>
  <si>
    <t>轻母Ξ级Ⅲ型</t>
  </si>
  <si>
    <t>旗舰Ν级Ⅰ型</t>
  </si>
  <si>
    <t>旗舰Ν级Ⅱ型</t>
  </si>
  <si>
    <t>驱逐Α级Ⅲ型</t>
  </si>
  <si>
    <t>航母Ο级Ⅳ型</t>
  </si>
  <si>
    <t>重巡Ι级Ⅳ型</t>
  </si>
  <si>
    <t>战列Λ级Ⅳ型</t>
  </si>
  <si>
    <t>潜艇Σ级Ⅰ型</t>
  </si>
  <si>
    <t>潜艇Σ级Ⅱ型</t>
  </si>
  <si>
    <t>潜艇Σ级Ⅲ型</t>
  </si>
  <si>
    <t>驱逐Α级Ⅳ型</t>
  </si>
  <si>
    <t>驱逐Β级Ⅳ型</t>
  </si>
  <si>
    <t>驱逐Γ级Ⅳ型</t>
  </si>
  <si>
    <t>驱逐二级Ⅳ型</t>
  </si>
  <si>
    <t>轻巡ε级Ⅰ型</t>
  </si>
  <si>
    <t>轻巡ε级Ⅱ型</t>
  </si>
  <si>
    <t>重巡Ω级Ⅰ型</t>
  </si>
  <si>
    <t>重巡Ω级Ⅱ型</t>
  </si>
  <si>
    <t>(´・∀・｀)</t>
  </si>
  <si>
    <t>Óðinn</t>
  </si>
  <si>
    <t>(´・ω・｀)</t>
  </si>
  <si>
    <t>Sükhbaatar</t>
  </si>
  <si>
    <t>Prinz Eugen</t>
  </si>
  <si>
    <t>Graf Zeppelin</t>
  </si>
  <si>
    <t>Commandant Teste</t>
  </si>
  <si>
    <t>驱逐イ级 elite</t>
  </si>
  <si>
    <t>驱逐ロ级 elite</t>
  </si>
  <si>
    <t>驱逐ハ级 elite</t>
  </si>
  <si>
    <t>驱逐二级 elite</t>
  </si>
  <si>
    <t>轻巡ホ级 elite</t>
  </si>
  <si>
    <t>轻巡ヘ级 elite</t>
  </si>
  <si>
    <t>轻巡ト级 elite</t>
  </si>
  <si>
    <t>雷巡チ级 elite</t>
  </si>
  <si>
    <t>重巡リ级 elite</t>
  </si>
  <si>
    <t>轻母ヌ级 elite</t>
  </si>
  <si>
    <t>战舰ル级 elite</t>
  </si>
  <si>
    <t>空母ヲ级 elite</t>
  </si>
  <si>
    <t>输送ワ级 elite</t>
  </si>
  <si>
    <t>重巡リ级 flagship</t>
  </si>
  <si>
    <t>空母ヲ级 flagship</t>
  </si>
  <si>
    <t>战舰ル级 flagship</t>
  </si>
  <si>
    <t>潜水カ级 elite</t>
  </si>
  <si>
    <t>潜水ヨ级 elite</t>
  </si>
  <si>
    <t>潜水カ级 flagship</t>
  </si>
  <si>
    <t>潜水ヨ级 flagship</t>
  </si>
  <si>
    <t>战舰タ级 elite</t>
  </si>
  <si>
    <t>战舰タ级 flagship</t>
  </si>
  <si>
    <t>驱逐ロ级 flagship</t>
  </si>
  <si>
    <t>驱逐ハ级 flagship</t>
  </si>
  <si>
    <t>轻巡ホ级 flagship</t>
  </si>
  <si>
    <t>轻巡ヘ级 flagship</t>
  </si>
  <si>
    <t>输送ワ级 flagship</t>
  </si>
  <si>
    <t>雷巡チ级 flagship</t>
  </si>
  <si>
    <t>轻母ヌ级 flagship</t>
  </si>
  <si>
    <t>战舰レ级 elite</t>
  </si>
  <si>
    <t>驱逐イ级 flagship</t>
  </si>
  <si>
    <t>空母ヲ级改 flagship</t>
  </si>
  <si>
    <t>战舰ル级改 flagship</t>
  </si>
  <si>
    <t>潜水ソ级 elite</t>
  </si>
  <si>
    <t>潜水ソ级 flagship</t>
  </si>
  <si>
    <t>轻巡ツ级 elite</t>
  </si>
  <si>
    <t>Andrea Doria</t>
  </si>
  <si>
    <t>Vittorio Veneto</t>
  </si>
  <si>
    <t>The Sullivans</t>
  </si>
  <si>
    <t>New Orealens</t>
  </si>
  <si>
    <t>Admiral Hipper</t>
  </si>
  <si>
    <t>Le Fantasque</t>
  </si>
  <si>
    <t>Ark Royal</t>
  </si>
  <si>
    <t>Queen Elizabeth</t>
  </si>
  <si>
    <t>South Dakota</t>
  </si>
  <si>
    <t>Jeanne d'Arc</t>
  </si>
  <si>
    <t>Caio Duilio</t>
  </si>
  <si>
    <t>Antonio da Noli</t>
  </si>
  <si>
    <t>Ugolino Vivaldi</t>
  </si>
  <si>
    <r>
      <t>按照新船出来时意大利船的装甲被低估的共识，稍为调高了</t>
    </r>
    <r>
      <rPr>
        <sz val="10"/>
        <color theme="1"/>
        <rFont val="細明體"/>
        <family val="3"/>
        <charset val="136"/>
      </rPr>
      <t>装甲</t>
    </r>
    <r>
      <rPr>
        <sz val="10"/>
        <color theme="1"/>
        <rFont val="Arial"/>
        <family val="2"/>
        <charset val="136"/>
      </rPr>
      <t>(+3)</t>
    </r>
    <phoneticPr fontId="2" type="noConversion"/>
  </si>
  <si>
    <t>改二的装甲很好了所以不再动</t>
  </si>
  <si>
    <r>
      <t>H</t>
    </r>
    <r>
      <rPr>
        <sz val="10"/>
        <color theme="1"/>
        <rFont val="Arial"/>
        <family val="2"/>
        <charset val="136"/>
      </rPr>
      <t>ood</t>
    </r>
    <phoneticPr fontId="6" type="noConversion"/>
  </si>
  <si>
    <r>
      <t xml:space="preserve">Nagato </t>
    </r>
    <r>
      <rPr>
        <sz val="10"/>
        <color theme="1"/>
        <rFont val="Arial"/>
        <family val="2"/>
        <charset val="136"/>
      </rPr>
      <t>II</t>
    </r>
    <phoneticPr fontId="6" type="noConversion"/>
  </si>
  <si>
    <r>
      <t>Q</t>
    </r>
    <r>
      <rPr>
        <sz val="10"/>
        <color theme="1"/>
        <rFont val="Arial"/>
        <family val="2"/>
        <charset val="136"/>
      </rPr>
      <t>E</t>
    </r>
    <phoneticPr fontId="6" type="noConversion"/>
  </si>
  <si>
    <r>
      <t>V</t>
    </r>
    <r>
      <rPr>
        <sz val="10"/>
        <color theme="1"/>
        <rFont val="Arial"/>
        <family val="2"/>
        <charset val="136"/>
      </rPr>
      <t>V</t>
    </r>
    <phoneticPr fontId="6" type="noConversion"/>
  </si>
  <si>
    <r>
      <t>R</t>
    </r>
    <r>
      <rPr>
        <sz val="10"/>
        <color theme="1"/>
        <rFont val="Arial"/>
        <family val="2"/>
        <charset val="136"/>
      </rPr>
      <t>enown</t>
    </r>
    <phoneticPr fontId="6" type="noConversion"/>
  </si>
  <si>
    <r>
      <t>O</t>
    </r>
    <r>
      <rPr>
        <sz val="10"/>
        <color theme="1"/>
        <rFont val="Arial"/>
        <family val="2"/>
        <charset val="136"/>
      </rPr>
      <t>thers</t>
    </r>
    <phoneticPr fontId="6" type="noConversion"/>
  </si>
  <si>
    <r>
      <t>V</t>
    </r>
    <r>
      <rPr>
        <sz val="10"/>
        <color theme="1"/>
        <rFont val="Arial"/>
        <family val="2"/>
        <charset val="136"/>
      </rPr>
      <t>anguard</t>
    </r>
    <phoneticPr fontId="6" type="noConversion"/>
  </si>
  <si>
    <t>SDakota</t>
  </si>
  <si>
    <r>
      <t>K</t>
    </r>
    <r>
      <rPr>
        <sz val="10"/>
        <color theme="1"/>
        <rFont val="Arial"/>
        <family val="2"/>
        <charset val="136"/>
      </rPr>
      <t>GV</t>
    </r>
    <phoneticPr fontId="6" type="noConversion"/>
  </si>
  <si>
    <t>Richelieu / Hood</t>
  </si>
  <si>
    <t>Scharnhorst</t>
  </si>
  <si>
    <r>
      <t>C</t>
    </r>
    <r>
      <rPr>
        <sz val="10"/>
        <color theme="1"/>
        <rFont val="Arial"/>
        <family val="2"/>
        <charset val="136"/>
      </rPr>
      <t>VL</t>
    </r>
    <phoneticPr fontId="6" type="noConversion"/>
  </si>
  <si>
    <r>
      <t>1</t>
    </r>
    <r>
      <rPr>
        <sz val="10"/>
        <color theme="1"/>
        <rFont val="Arial"/>
        <family val="2"/>
        <charset val="136"/>
      </rPr>
      <t>0000t</t>
    </r>
    <phoneticPr fontId="6" type="noConversion"/>
  </si>
  <si>
    <r>
      <t>&lt;</t>
    </r>
    <r>
      <rPr>
        <sz val="10"/>
        <color theme="1"/>
        <rFont val="Arial"/>
        <family val="2"/>
        <charset val="136"/>
      </rPr>
      <t>=7000t</t>
    </r>
    <phoneticPr fontId="6" type="noConversion"/>
  </si>
  <si>
    <t>Iowa</t>
    <phoneticPr fontId="6" type="noConversion"/>
  </si>
  <si>
    <t xml:space="preserve">Nelson </t>
    <phoneticPr fontId="6" type="noConversion"/>
  </si>
  <si>
    <t>Nagato</t>
    <phoneticPr fontId="6" type="noConversion"/>
  </si>
  <si>
    <t>Fuso</t>
    <phoneticPr fontId="2" type="noConversion"/>
  </si>
  <si>
    <t>Bis</t>
    <phoneticPr fontId="2" type="noConversion"/>
  </si>
  <si>
    <t>Kongo</t>
    <phoneticPr fontId="2" type="noConversion"/>
  </si>
  <si>
    <r>
      <t>C</t>
    </r>
    <r>
      <rPr>
        <sz val="10"/>
        <color theme="1"/>
        <rFont val="Arial"/>
        <family val="2"/>
        <charset val="136"/>
      </rPr>
      <t>B</t>
    </r>
    <phoneticPr fontId="6" type="noConversion"/>
  </si>
  <si>
    <t>Pocket</t>
    <phoneticPr fontId="6" type="noConversion"/>
  </si>
  <si>
    <t>CV</t>
    <phoneticPr fontId="6" type="noConversion"/>
  </si>
  <si>
    <r>
      <t>C</t>
    </r>
    <r>
      <rPr>
        <sz val="10"/>
        <color theme="1"/>
        <rFont val="Arial"/>
        <family val="2"/>
        <charset val="136"/>
      </rPr>
      <t>A</t>
    </r>
    <phoneticPr fontId="6" type="noConversion"/>
  </si>
  <si>
    <r>
      <t>C</t>
    </r>
    <r>
      <rPr>
        <sz val="10"/>
        <color theme="1"/>
        <rFont val="Arial"/>
        <family val="2"/>
        <charset val="136"/>
      </rPr>
      <t>L</t>
    </r>
    <phoneticPr fontId="6" type="noConversion"/>
  </si>
  <si>
    <r>
      <t>D</t>
    </r>
    <r>
      <rPr>
        <sz val="10"/>
        <color theme="1"/>
        <rFont val="Arial"/>
        <family val="2"/>
        <charset val="136"/>
      </rPr>
      <t>D</t>
    </r>
    <phoneticPr fontId="6" type="noConversion"/>
  </si>
  <si>
    <t>&gt;18"</t>
    <phoneticPr fontId="2" type="noConversion"/>
  </si>
  <si>
    <t>18" x 3</t>
    <phoneticPr fontId="2" type="noConversion"/>
  </si>
  <si>
    <t>18" x 2</t>
  </si>
  <si>
    <r>
      <t>16"</t>
    </r>
    <r>
      <rPr>
        <sz val="10"/>
        <color theme="1"/>
        <rFont val="Arial"/>
        <family val="2"/>
        <charset val="136"/>
      </rPr>
      <t xml:space="preserve"> x 3</t>
    </r>
    <phoneticPr fontId="6" type="noConversion"/>
  </si>
  <si>
    <r>
      <t>16"</t>
    </r>
    <r>
      <rPr>
        <sz val="10"/>
        <color theme="1"/>
        <rFont val="Arial"/>
        <family val="2"/>
        <charset val="136"/>
      </rPr>
      <t xml:space="preserve"> x 2</t>
    </r>
    <phoneticPr fontId="6" type="noConversion"/>
  </si>
  <si>
    <r>
      <t xml:space="preserve">15" </t>
    </r>
    <r>
      <rPr>
        <sz val="10"/>
        <color theme="1"/>
        <rFont val="Arial"/>
        <family val="2"/>
        <charset val="136"/>
      </rPr>
      <t>x 3</t>
    </r>
    <phoneticPr fontId="2" type="noConversion"/>
  </si>
  <si>
    <r>
      <t>14" - 15"</t>
    </r>
    <r>
      <rPr>
        <sz val="10"/>
        <color theme="1"/>
        <rFont val="Arial"/>
        <family val="2"/>
        <charset val="136"/>
      </rPr>
      <t xml:space="preserve"> x 2</t>
    </r>
    <phoneticPr fontId="6" type="noConversion"/>
  </si>
  <si>
    <r>
      <t>10" - 1</t>
    </r>
    <r>
      <rPr>
        <sz val="10"/>
        <color theme="1"/>
        <rFont val="Arial"/>
        <family val="2"/>
        <charset val="136"/>
      </rPr>
      <t>3</t>
    </r>
    <r>
      <rPr>
        <sz val="10"/>
        <color theme="1"/>
        <rFont val="Arial"/>
        <family val="2"/>
        <charset val="136"/>
      </rPr>
      <t>"</t>
    </r>
    <phoneticPr fontId="2" type="noConversion"/>
  </si>
  <si>
    <t>8" x 3</t>
    <phoneticPr fontId="6" type="noConversion"/>
  </si>
  <si>
    <r>
      <t>8"</t>
    </r>
    <r>
      <rPr>
        <sz val="10"/>
        <color theme="1"/>
        <rFont val="Arial"/>
        <family val="2"/>
        <charset val="136"/>
      </rPr>
      <t xml:space="preserve"> x 2</t>
    </r>
    <phoneticPr fontId="6" type="noConversion"/>
  </si>
  <si>
    <t>8" x 2 3yr</t>
    <phoneticPr fontId="6" type="noConversion"/>
  </si>
  <si>
    <t>7" x 3</t>
    <phoneticPr fontId="6" type="noConversion"/>
  </si>
  <si>
    <t>6.1" x 3</t>
    <phoneticPr fontId="6" type="noConversion"/>
  </si>
  <si>
    <r>
      <t>6.1"</t>
    </r>
    <r>
      <rPr>
        <sz val="10"/>
        <color theme="1"/>
        <rFont val="Arial"/>
        <family val="2"/>
        <charset val="136"/>
      </rPr>
      <t xml:space="preserve"> x 2</t>
    </r>
    <phoneticPr fontId="6" type="noConversion"/>
  </si>
  <si>
    <r>
      <t>6.1"</t>
    </r>
    <r>
      <rPr>
        <sz val="10"/>
        <color theme="1"/>
        <rFont val="Arial"/>
        <family val="2"/>
        <charset val="136"/>
      </rPr>
      <t xml:space="preserve"> x 1</t>
    </r>
    <phoneticPr fontId="6" type="noConversion"/>
  </si>
  <si>
    <t>&lt;=5"</t>
  </si>
  <si>
    <t>主炮装备</t>
  </si>
  <si>
    <t>重量</t>
  </si>
  <si>
    <t>;改装后属性最大值系列：</t>
  </si>
  <si>
    <t>Custom 2</t>
  </si>
  <si>
    <t>装備</t>
  </si>
  <si>
    <t>種別ID</t>
  </si>
  <si>
    <t>制空値</t>
  </si>
  <si>
    <t>艦載</t>
  </si>
  <si>
    <r>
      <rPr>
        <sz val="10"/>
        <color rgb="FF000000"/>
        <rFont val="ＭＳ Ｐゴシック"/>
        <family val="2"/>
        <charset val="128"/>
      </rPr>
      <t>;</t>
    </r>
    <r>
      <rPr>
        <sz val="10"/>
        <color rgb="FF000000"/>
        <rFont val="細明體"/>
        <family val="3"/>
        <charset val="136"/>
      </rPr>
      <t>改一后属性火力装甲雷装回避对空对潜索敌运</t>
    </r>
  </si>
  <si>
    <t>Custom 1</t>
  </si>
  <si>
    <t>Base</t>
  </si>
  <si>
    <t>Ship row</t>
  </si>
  <si>
    <t>SELECTCASE ARG</t>
  </si>
  <si>
    <t>VARSET LOCAL</t>
  </si>
  <si>
    <r>
      <t>#DIM REF RVALUE ;</t>
    </r>
    <r>
      <rPr>
        <sz val="10"/>
        <color rgb="FF000000"/>
        <rFont val="細明體"/>
        <family val="3"/>
        <charset val="136"/>
      </rPr>
      <t>返回值</t>
    </r>
  </si>
  <si>
    <r>
      <t>#DIM SHIPID ;</t>
    </r>
    <r>
      <rPr>
        <sz val="10"/>
        <color rgb="FF000000"/>
        <rFont val="細明體"/>
        <family val="3"/>
        <charset val="136"/>
      </rPr>
      <t>舰编号</t>
    </r>
  </si>
  <si>
    <t>#DIM SHIPID</t>
  </si>
  <si>
    <t>#FUNCTION</t>
  </si>
  <si>
    <r>
      <t>#FUNCTION ;SHIPID</t>
    </r>
    <r>
      <rPr>
        <sz val="10"/>
        <color rgb="FF000000"/>
        <rFont val="細明體"/>
        <family val="3"/>
        <charset val="136"/>
      </rPr>
      <t>是艦船編號</t>
    </r>
    <r>
      <rPr>
        <sz val="10"/>
        <color rgb="FF000000"/>
        <rFont val="Arial"/>
        <family val="2"/>
      </rPr>
      <t>,</t>
    </r>
    <r>
      <rPr>
        <sz val="10"/>
        <color rgb="FF000000"/>
        <rFont val="細明體"/>
        <family val="3"/>
        <charset val="136"/>
      </rPr>
      <t>可以作特殊處理用</t>
    </r>
  </si>
  <si>
    <r>
      <t>CASE 1 ;</t>
    </r>
    <r>
      <rPr>
        <sz val="10"/>
        <color rgb="FF000000"/>
        <rFont val="細明體"/>
        <family val="3"/>
        <charset val="136"/>
      </rPr>
      <t>火力</t>
    </r>
  </si>
  <si>
    <r>
      <t>CASE 2 ;</t>
    </r>
    <r>
      <rPr>
        <sz val="10"/>
        <color rgb="FF000000"/>
        <rFont val="細明體"/>
        <family val="3"/>
        <charset val="136"/>
      </rPr>
      <t>雷装</t>
    </r>
  </si>
  <si>
    <r>
      <t>CASE 3 ;</t>
    </r>
    <r>
      <rPr>
        <sz val="10"/>
        <color rgb="FF000000"/>
        <rFont val="細明體"/>
        <family val="3"/>
        <charset val="136"/>
      </rPr>
      <t>爆装</t>
    </r>
  </si>
  <si>
    <r>
      <t>CASE 4 ;</t>
    </r>
    <r>
      <rPr>
        <sz val="10"/>
        <color rgb="FF000000"/>
        <rFont val="細明體"/>
        <family val="3"/>
        <charset val="136"/>
      </rPr>
      <t>対空</t>
    </r>
  </si>
  <si>
    <r>
      <t>CASE 5 ;</t>
    </r>
    <r>
      <rPr>
        <sz val="10"/>
        <color rgb="FF000000"/>
        <rFont val="細明體"/>
        <family val="3"/>
        <charset val="136"/>
      </rPr>
      <t>対潜</t>
    </r>
  </si>
  <si>
    <r>
      <t>CASE 6 ;</t>
    </r>
    <r>
      <rPr>
        <sz val="10"/>
        <color rgb="FF000000"/>
        <rFont val="細明體"/>
        <family val="3"/>
        <charset val="136"/>
      </rPr>
      <t>索敵</t>
    </r>
  </si>
  <si>
    <r>
      <t>CASE 7 ;</t>
    </r>
    <r>
      <rPr>
        <sz val="10"/>
        <color rgb="FF000000"/>
        <rFont val="細明體"/>
        <family val="3"/>
        <charset val="136"/>
      </rPr>
      <t>命中</t>
    </r>
  </si>
  <si>
    <r>
      <t>CASE 8 ;</t>
    </r>
    <r>
      <rPr>
        <sz val="10"/>
        <color rgb="FF000000"/>
        <rFont val="細明體"/>
        <family val="3"/>
        <charset val="136"/>
      </rPr>
      <t>回避</t>
    </r>
  </si>
  <si>
    <r>
      <t>CASE 9 ;</t>
    </r>
    <r>
      <rPr>
        <sz val="10"/>
        <color rgb="FF000000"/>
        <rFont val="細明體"/>
        <family val="3"/>
        <charset val="136"/>
      </rPr>
      <t>射程</t>
    </r>
  </si>
  <si>
    <r>
      <t>CASE 10 ;</t>
    </r>
    <r>
      <rPr>
        <sz val="10"/>
        <color rgb="FF000000"/>
        <rFont val="細明體"/>
        <family val="3"/>
        <charset val="136"/>
      </rPr>
      <t>装甲</t>
    </r>
  </si>
  <si>
    <r>
      <t>CASE 11 ;</t>
    </r>
    <r>
      <rPr>
        <sz val="10"/>
        <color rgb="FF000000"/>
        <rFont val="細明體"/>
        <family val="3"/>
        <charset val="136"/>
      </rPr>
      <t>種別</t>
    </r>
    <r>
      <rPr>
        <sz val="10"/>
        <color rgb="FF000000"/>
        <rFont val="Arial"/>
        <family val="2"/>
      </rPr>
      <t>ID</t>
    </r>
  </si>
  <si>
    <r>
      <t>CASE 12 ;</t>
    </r>
    <r>
      <rPr>
        <sz val="10"/>
        <color rgb="FF000000"/>
        <rFont val="細明體"/>
        <family val="3"/>
        <charset val="136"/>
      </rPr>
      <t>運</t>
    </r>
  </si>
  <si>
    <r>
      <t>CASE 13 ;</t>
    </r>
    <r>
      <rPr>
        <sz val="10"/>
        <color rgb="FF000000"/>
        <rFont val="細明體"/>
        <family val="3"/>
        <charset val="136"/>
      </rPr>
      <t>燃料</t>
    </r>
  </si>
  <si>
    <r>
      <t>CASE 14 ;</t>
    </r>
    <r>
      <rPr>
        <sz val="10"/>
        <color rgb="FF000000"/>
        <rFont val="細明體"/>
        <family val="3"/>
        <charset val="136"/>
      </rPr>
      <t>弹药</t>
    </r>
  </si>
  <si>
    <r>
      <t>CASE 15 ;</t>
    </r>
    <r>
      <rPr>
        <sz val="10"/>
        <color rgb="FF000000"/>
        <rFont val="細明體"/>
        <family val="3"/>
        <charset val="136"/>
      </rPr>
      <t>钢材</t>
    </r>
  </si>
  <si>
    <r>
      <t>CASE 16 ;</t>
    </r>
    <r>
      <rPr>
        <sz val="10"/>
        <color rgb="FF000000"/>
        <rFont val="細明體"/>
        <family val="3"/>
        <charset val="136"/>
      </rPr>
      <t>铝土</t>
    </r>
  </si>
  <si>
    <r>
      <t>CASE 17 ;</t>
    </r>
    <r>
      <rPr>
        <sz val="10"/>
        <color rgb="FF000000"/>
        <rFont val="細明體"/>
        <family val="3"/>
        <charset val="136"/>
      </rPr>
      <t>飞机类型，</t>
    </r>
    <r>
      <rPr>
        <sz val="10"/>
        <color rgb="FF000000"/>
        <rFont val="Arial"/>
        <family val="2"/>
      </rPr>
      <t>0</t>
    </r>
    <r>
      <rPr>
        <sz val="10"/>
        <color rgb="FF000000"/>
        <rFont val="細明體"/>
        <family val="3"/>
        <charset val="136"/>
      </rPr>
      <t>不适用</t>
    </r>
    <r>
      <rPr>
        <sz val="10"/>
        <color rgb="FF000000"/>
        <rFont val="Arial"/>
        <family val="2"/>
      </rPr>
      <t xml:space="preserve"> 1</t>
    </r>
    <r>
      <rPr>
        <sz val="10"/>
        <color rgb="FF000000"/>
        <rFont val="細明體"/>
        <family val="3"/>
        <charset val="136"/>
      </rPr>
      <t>舰载</t>
    </r>
    <r>
      <rPr>
        <sz val="10"/>
        <color rgb="FF000000"/>
        <rFont val="Arial"/>
        <family val="2"/>
      </rPr>
      <t xml:space="preserve"> 2</t>
    </r>
    <r>
      <rPr>
        <sz val="10"/>
        <color rgb="FF000000"/>
        <rFont val="細明體"/>
        <family val="3"/>
        <charset val="136"/>
      </rPr>
      <t>水上</t>
    </r>
    <r>
      <rPr>
        <sz val="10"/>
        <color rgb="FF000000"/>
        <rFont val="Arial"/>
        <family val="2"/>
      </rPr>
      <t xml:space="preserve"> 3</t>
    </r>
    <r>
      <rPr>
        <sz val="10"/>
        <color rgb="FF000000"/>
        <rFont val="細明體"/>
        <family val="3"/>
        <charset val="136"/>
      </rPr>
      <t>陆基</t>
    </r>
  </si>
  <si>
    <r>
      <t>CASE 18 ;</t>
    </r>
    <r>
      <rPr>
        <sz val="10"/>
        <color rgb="FF000000"/>
        <rFont val="細明體"/>
        <family val="3"/>
        <charset val="136"/>
      </rPr>
      <t>对爆，陆基飞机用</t>
    </r>
  </si>
  <si>
    <r>
      <t>CASE 19 ;</t>
    </r>
    <r>
      <rPr>
        <sz val="10"/>
        <color rgb="FF000000"/>
        <rFont val="細明體"/>
        <family val="3"/>
        <charset val="136"/>
      </rPr>
      <t>迎击，陆基飞机用</t>
    </r>
  </si>
  <si>
    <r>
      <t>CASE 20 ;</t>
    </r>
    <r>
      <rPr>
        <sz val="10"/>
        <color rgb="FF000000"/>
        <rFont val="細明體"/>
        <family val="3"/>
        <charset val="136"/>
      </rPr>
      <t>舰載艇分类，正数为登陆艇的远征加成</t>
    </r>
    <r>
      <rPr>
        <sz val="10"/>
        <color rgb="FF000000"/>
        <rFont val="Arial"/>
        <family val="2"/>
      </rPr>
      <t>%</t>
    </r>
    <r>
      <rPr>
        <sz val="10"/>
        <color rgb="FF000000"/>
        <rFont val="細明體"/>
        <family val="3"/>
        <charset val="136"/>
      </rPr>
      <t>；负数为对应开幕雷击，</t>
    </r>
    <r>
      <rPr>
        <sz val="10"/>
        <color rgb="FF000000"/>
        <rFont val="Arial"/>
        <family val="2"/>
      </rPr>
      <t>-1</t>
    </r>
    <r>
      <rPr>
        <sz val="10"/>
        <color rgb="FF000000"/>
        <rFont val="細明體"/>
        <family val="3"/>
        <charset val="136"/>
      </rPr>
      <t>为对应潜艇，</t>
    </r>
    <r>
      <rPr>
        <sz val="10"/>
        <color rgb="FF000000"/>
        <rFont val="Arial"/>
        <family val="2"/>
      </rPr>
      <t>-2</t>
    </r>
    <r>
      <rPr>
        <sz val="10"/>
        <color rgb="FF000000"/>
        <rFont val="細明體"/>
        <family val="3"/>
        <charset val="136"/>
      </rPr>
      <t>为不对应</t>
    </r>
  </si>
  <si>
    <r>
      <t>CASE 21 ;</t>
    </r>
    <r>
      <rPr>
        <sz val="10"/>
        <color rgb="FF000000"/>
        <rFont val="細明體"/>
        <family val="3"/>
        <charset val="136"/>
      </rPr>
      <t>垂直破甲加成</t>
    </r>
    <r>
      <rPr>
        <sz val="10"/>
        <color rgb="FF000000"/>
        <rFont val="Arial"/>
        <family val="2"/>
      </rPr>
      <t>%</t>
    </r>
    <r>
      <rPr>
        <sz val="10"/>
        <color rgb="FF000000"/>
        <rFont val="細明體"/>
        <family val="3"/>
        <charset val="136"/>
      </rPr>
      <t>，彻甲弹用，这里采用了舰</t>
    </r>
    <r>
      <rPr>
        <sz val="10"/>
        <color rgb="FF000000"/>
        <rFont val="Arial"/>
        <family val="2"/>
      </rPr>
      <t>NR</t>
    </r>
    <r>
      <rPr>
        <sz val="10"/>
        <color rgb="FF000000"/>
        <rFont val="細明體"/>
        <family val="3"/>
        <charset val="136"/>
      </rPr>
      <t>的方式</t>
    </r>
  </si>
  <si>
    <r>
      <t>CASE 22 ;</t>
    </r>
    <r>
      <rPr>
        <sz val="10"/>
        <color rgb="FF000000"/>
        <rFont val="細明體"/>
        <family val="3"/>
        <charset val="136"/>
      </rPr>
      <t>水平破甲加成</t>
    </r>
    <r>
      <rPr>
        <sz val="10"/>
        <color rgb="FF000000"/>
        <rFont val="Arial"/>
        <family val="2"/>
      </rPr>
      <t>%</t>
    </r>
    <r>
      <rPr>
        <sz val="10"/>
        <color rgb="FF000000"/>
        <rFont val="細明體"/>
        <family val="3"/>
        <charset val="136"/>
      </rPr>
      <t>，超重弹用，这里采用了舰</t>
    </r>
    <r>
      <rPr>
        <sz val="10"/>
        <color rgb="FF000000"/>
        <rFont val="Arial"/>
        <family val="2"/>
      </rPr>
      <t>NR</t>
    </r>
    <r>
      <rPr>
        <sz val="10"/>
        <color rgb="FF000000"/>
        <rFont val="細明體"/>
        <family val="3"/>
        <charset val="136"/>
      </rPr>
      <t>的方式</t>
    </r>
  </si>
  <si>
    <r>
      <t>CASE 23 ;</t>
    </r>
    <r>
      <rPr>
        <sz val="10"/>
        <color rgb="FF000000"/>
        <rFont val="細明體"/>
        <family val="3"/>
        <charset val="136"/>
      </rPr>
      <t>口径，</t>
    </r>
    <r>
      <rPr>
        <sz val="10"/>
        <color rgb="FF000000"/>
        <rFont val="Arial"/>
        <family val="2"/>
      </rPr>
      <t>0</t>
    </r>
    <r>
      <rPr>
        <sz val="10"/>
        <color rgb="FF000000"/>
        <rFont val="細明體"/>
        <family val="3"/>
        <charset val="136"/>
      </rPr>
      <t>不适用</t>
    </r>
    <r>
      <rPr>
        <sz val="10"/>
        <color rgb="FF000000"/>
        <rFont val="Arial"/>
        <family val="2"/>
      </rPr>
      <t xml:space="preserve"> 1</t>
    </r>
    <r>
      <rPr>
        <sz val="10"/>
        <color rgb="FF000000"/>
        <rFont val="細明體"/>
        <family val="3"/>
        <charset val="136"/>
      </rPr>
      <t>小</t>
    </r>
    <r>
      <rPr>
        <sz val="10"/>
        <color rgb="FF000000"/>
        <rFont val="Arial"/>
        <family val="2"/>
      </rPr>
      <t xml:space="preserve"> 2</t>
    </r>
    <r>
      <rPr>
        <sz val="10"/>
        <color rgb="FF000000"/>
        <rFont val="細明體"/>
        <family val="3"/>
        <charset val="136"/>
      </rPr>
      <t>中（轻巡）</t>
    </r>
    <r>
      <rPr>
        <sz val="10"/>
        <color rgb="FF000000"/>
        <rFont val="Arial"/>
        <family val="2"/>
      </rPr>
      <t xml:space="preserve"> 3</t>
    </r>
    <r>
      <rPr>
        <sz val="10"/>
        <color rgb="FF000000"/>
        <rFont val="細明體"/>
        <family val="3"/>
        <charset val="136"/>
      </rPr>
      <t>中（重巡）</t>
    </r>
    <r>
      <rPr>
        <sz val="10"/>
        <color rgb="FF000000"/>
        <rFont val="Arial"/>
        <family val="2"/>
      </rPr>
      <t xml:space="preserve"> 4</t>
    </r>
    <r>
      <rPr>
        <sz val="10"/>
        <color rgb="FF000000"/>
        <rFont val="細明體"/>
        <family val="3"/>
        <charset val="136"/>
      </rPr>
      <t>大</t>
    </r>
  </si>
  <si>
    <r>
      <t>CASE 24 ;</t>
    </r>
    <r>
      <rPr>
        <sz val="10"/>
        <color rgb="FF000000"/>
        <rFont val="細明體"/>
        <family val="3"/>
        <charset val="136"/>
      </rPr>
      <t>加权对空倍率，如果不是</t>
    </r>
    <r>
      <rPr>
        <sz val="10"/>
        <color rgb="FF000000"/>
        <rFont val="Arial"/>
        <family val="2"/>
      </rPr>
      <t>0</t>
    </r>
    <r>
      <rPr>
        <sz val="10"/>
        <color rgb="FF000000"/>
        <rFont val="細明體"/>
        <family val="3"/>
        <charset val="136"/>
      </rPr>
      <t>的话就会取代原来按装备类型决定的倍率（即</t>
    </r>
    <r>
      <rPr>
        <sz val="10"/>
        <color rgb="FF000000"/>
        <rFont val="Arial"/>
        <family val="2"/>
      </rPr>
      <t xml:space="preserve"> </t>
    </r>
    <r>
      <rPr>
        <sz val="10"/>
        <color rgb="FF000000"/>
        <rFont val="細明體"/>
        <family val="3"/>
        <charset val="136"/>
      </rPr>
      <t>高角砲</t>
    </r>
    <r>
      <rPr>
        <sz val="10"/>
        <color rgb="FF000000"/>
        <rFont val="Arial"/>
        <family val="2"/>
      </rPr>
      <t xml:space="preserve"> VT</t>
    </r>
    <r>
      <rPr>
        <sz val="10"/>
        <color rgb="FF000000"/>
        <rFont val="細明體"/>
        <family val="3"/>
        <charset val="136"/>
      </rPr>
      <t>弹）</t>
    </r>
  </si>
  <si>
    <r>
      <t>CASE 25 ;</t>
    </r>
    <r>
      <rPr>
        <sz val="10"/>
        <color rgb="FF000000"/>
        <rFont val="細明體"/>
        <family val="3"/>
        <charset val="136"/>
      </rPr>
      <t>舰队对空倍率</t>
    </r>
    <r>
      <rPr>
        <sz val="10"/>
        <color rgb="FF000000"/>
        <rFont val="Arial"/>
        <family val="2"/>
      </rPr>
      <t>x100</t>
    </r>
    <r>
      <rPr>
        <sz val="10"/>
        <color rgb="FF000000"/>
        <rFont val="細明體"/>
        <family val="3"/>
        <charset val="136"/>
      </rPr>
      <t>，如果不是</t>
    </r>
    <r>
      <rPr>
        <sz val="10"/>
        <color rgb="FF000000"/>
        <rFont val="Arial"/>
        <family val="2"/>
      </rPr>
      <t>0</t>
    </r>
    <r>
      <rPr>
        <sz val="10"/>
        <color rgb="FF000000"/>
        <rFont val="細明體"/>
        <family val="3"/>
        <charset val="136"/>
      </rPr>
      <t>的话就会取代原来按装备类型决定的倍率（即</t>
    </r>
    <r>
      <rPr>
        <sz val="10"/>
        <color rgb="FF000000"/>
        <rFont val="Arial"/>
        <family val="2"/>
      </rPr>
      <t xml:space="preserve"> </t>
    </r>
    <r>
      <rPr>
        <sz val="10"/>
        <color rgb="FF000000"/>
        <rFont val="細明體"/>
        <family val="3"/>
        <charset val="136"/>
      </rPr>
      <t>高角砲</t>
    </r>
    <r>
      <rPr>
        <sz val="10"/>
        <color rgb="FF000000"/>
        <rFont val="Arial"/>
        <family val="2"/>
      </rPr>
      <t xml:space="preserve"> VT</t>
    </r>
    <r>
      <rPr>
        <sz val="10"/>
        <color rgb="FF000000"/>
        <rFont val="細明體"/>
        <family val="3"/>
        <charset val="136"/>
      </rPr>
      <t>弹）</t>
    </r>
  </si>
  <si>
    <r>
      <t>CASE 26 ;</t>
    </r>
    <r>
      <rPr>
        <sz val="10"/>
        <color rgb="FF000000"/>
        <rFont val="細明體"/>
        <family val="3"/>
        <charset val="136"/>
      </rPr>
      <t>对空</t>
    </r>
    <r>
      <rPr>
        <sz val="10"/>
        <color rgb="FF000000"/>
        <rFont val="Arial"/>
        <family val="2"/>
      </rPr>
      <t>CI</t>
    </r>
    <r>
      <rPr>
        <sz val="10"/>
        <color rgb="FF000000"/>
        <rFont val="細明體"/>
        <family val="3"/>
        <charset val="136"/>
      </rPr>
      <t>的装备特性，</t>
    </r>
    <r>
      <rPr>
        <sz val="10"/>
        <color rgb="FF000000"/>
        <rFont val="Arial"/>
        <family val="2"/>
      </rPr>
      <t>0</t>
    </r>
    <r>
      <rPr>
        <sz val="10"/>
        <color rgb="FF000000"/>
        <rFont val="細明體"/>
        <family val="3"/>
        <charset val="136"/>
      </rPr>
      <t>不适用</t>
    </r>
    <r>
      <rPr>
        <sz val="10"/>
        <color rgb="FF000000"/>
        <rFont val="Arial"/>
        <family val="2"/>
      </rPr>
      <t xml:space="preserve"> 1</t>
    </r>
    <r>
      <rPr>
        <sz val="10"/>
        <color rgb="FF000000"/>
        <rFont val="細明體"/>
        <family val="3"/>
        <charset val="136"/>
      </rPr>
      <t>自带高射装置</t>
    </r>
    <r>
      <rPr>
        <sz val="10"/>
        <color rgb="FF000000"/>
        <rFont val="Arial"/>
        <family val="2"/>
      </rPr>
      <t xml:space="preserve"> 2</t>
    </r>
    <r>
      <rPr>
        <sz val="10"/>
        <color rgb="FF000000"/>
        <rFont val="細明體"/>
        <family val="3"/>
        <charset val="136"/>
      </rPr>
      <t>集中配备的机枪</t>
    </r>
    <r>
      <rPr>
        <sz val="10"/>
        <color rgb="FF000000"/>
        <rFont val="Arial"/>
        <family val="2"/>
      </rPr>
      <t xml:space="preserve"> 3</t>
    </r>
    <r>
      <rPr>
        <sz val="10"/>
        <color rgb="FF000000"/>
        <rFont val="細明體"/>
        <family val="3"/>
        <charset val="136"/>
      </rPr>
      <t>自带机枪</t>
    </r>
  </si>
  <si>
    <r>
      <t>CASE 27 ;</t>
    </r>
    <r>
      <rPr>
        <sz val="10"/>
        <color rgb="FF000000"/>
        <rFont val="細明體"/>
        <family val="3"/>
        <charset val="136"/>
      </rPr>
      <t>特殊效果飞机，</t>
    </r>
    <r>
      <rPr>
        <sz val="10"/>
        <color rgb="FF000000"/>
        <rFont val="Arial"/>
        <family val="2"/>
      </rPr>
      <t>0</t>
    </r>
    <r>
      <rPr>
        <sz val="10"/>
        <color rgb="FF000000"/>
        <rFont val="細明體"/>
        <family val="3"/>
        <charset val="136"/>
      </rPr>
      <t>不适用</t>
    </r>
    <r>
      <rPr>
        <sz val="10"/>
        <color rgb="FF000000"/>
        <rFont val="Arial"/>
        <family val="2"/>
      </rPr>
      <t xml:space="preserve"> 1</t>
    </r>
    <r>
      <rPr>
        <sz val="10"/>
        <color rgb="FF000000"/>
        <rFont val="細明體"/>
        <family val="3"/>
        <charset val="136"/>
      </rPr>
      <t>为彩云的</t>
    </r>
    <r>
      <rPr>
        <sz val="10"/>
        <color rgb="FF000000"/>
        <rFont val="Arial"/>
        <family val="2"/>
      </rPr>
      <t>T</t>
    </r>
    <r>
      <rPr>
        <sz val="10"/>
        <color rgb="FF000000"/>
        <rFont val="細明體"/>
        <family val="3"/>
        <charset val="136"/>
      </rPr>
      <t>字不利转换效果，</t>
    </r>
    <r>
      <rPr>
        <sz val="10"/>
        <color rgb="FF000000"/>
        <rFont val="Arial"/>
        <family val="2"/>
      </rPr>
      <t>2</t>
    </r>
    <r>
      <rPr>
        <sz val="10"/>
        <color rgb="FF000000"/>
        <rFont val="細明體"/>
        <family val="3"/>
        <charset val="136"/>
      </rPr>
      <t>为夜间活动能力，</t>
    </r>
    <r>
      <rPr>
        <sz val="10"/>
        <color rgb="FF000000"/>
        <rFont val="Arial"/>
        <family val="2"/>
      </rPr>
      <t>3</t>
    </r>
    <r>
      <rPr>
        <sz val="10"/>
        <color rgb="FF000000"/>
        <rFont val="細明體"/>
        <family val="3"/>
        <charset val="136"/>
      </rPr>
      <t>为大型飞行艇，</t>
    </r>
    <r>
      <rPr>
        <sz val="10"/>
        <color rgb="FF000000"/>
        <rFont val="Arial"/>
        <family val="2"/>
      </rPr>
      <t>4</t>
    </r>
    <r>
      <rPr>
        <sz val="10"/>
        <color rgb="FF000000"/>
        <rFont val="細明體"/>
        <family val="3"/>
        <charset val="136"/>
      </rPr>
      <t>为双发动机，</t>
    </r>
    <r>
      <rPr>
        <sz val="10"/>
        <color rgb="FF000000"/>
        <rFont val="Arial"/>
        <family val="2"/>
      </rPr>
      <t>5</t>
    </r>
    <r>
      <rPr>
        <sz val="10"/>
        <color rgb="FF000000"/>
        <rFont val="細明體"/>
        <family val="3"/>
        <charset val="136"/>
      </rPr>
      <t>为爆战</t>
    </r>
  </si>
  <si>
    <r>
      <t>CASE 28 ;</t>
    </r>
    <r>
      <rPr>
        <sz val="10"/>
        <color rgb="FF000000"/>
        <rFont val="細明體"/>
        <family val="3"/>
        <charset val="136"/>
      </rPr>
      <t>其他夜战效果，</t>
    </r>
    <r>
      <rPr>
        <sz val="10"/>
        <color rgb="FF000000"/>
        <rFont val="Arial"/>
        <family val="2"/>
      </rPr>
      <t>0</t>
    </r>
    <r>
      <rPr>
        <sz val="10"/>
        <color rgb="FF000000"/>
        <rFont val="細明體"/>
        <family val="3"/>
        <charset val="136"/>
      </rPr>
      <t>不适用</t>
    </r>
    <r>
      <rPr>
        <sz val="10"/>
        <color rgb="FF000000"/>
        <rFont val="Arial"/>
        <family val="2"/>
      </rPr>
      <t xml:space="preserve"> 1</t>
    </r>
    <r>
      <rPr>
        <sz val="10"/>
        <color rgb="FF000000"/>
        <rFont val="細明體"/>
        <family val="3"/>
        <charset val="136"/>
      </rPr>
      <t>探照灯</t>
    </r>
    <r>
      <rPr>
        <sz val="10"/>
        <color rgb="FF000000"/>
        <rFont val="Arial"/>
        <family val="2"/>
      </rPr>
      <t xml:space="preserve"> 2</t>
    </r>
    <r>
      <rPr>
        <sz val="10"/>
        <color rgb="FF000000"/>
        <rFont val="細明體"/>
        <family val="3"/>
        <charset val="136"/>
      </rPr>
      <t>照明弹</t>
    </r>
    <r>
      <rPr>
        <sz val="10"/>
        <color rgb="FF000000"/>
        <rFont val="Arial"/>
        <family val="2"/>
      </rPr>
      <t xml:space="preserve"> 3</t>
    </r>
    <r>
      <rPr>
        <sz val="10"/>
        <color rgb="FF000000"/>
        <rFont val="細明體"/>
        <family val="3"/>
        <charset val="136"/>
      </rPr>
      <t>见张员</t>
    </r>
  </si>
  <si>
    <r>
      <t>CASE 29 ;</t>
    </r>
    <r>
      <rPr>
        <sz val="10"/>
        <color rgb="FF000000"/>
        <rFont val="細明體"/>
        <family val="3"/>
        <charset val="136"/>
      </rPr>
      <t>陆基效果，</t>
    </r>
    <r>
      <rPr>
        <sz val="10"/>
        <color rgb="FF000000"/>
        <rFont val="Arial"/>
        <family val="2"/>
      </rPr>
      <t>0</t>
    </r>
    <r>
      <rPr>
        <sz val="10"/>
        <color rgb="FF000000"/>
        <rFont val="細明體"/>
        <family val="3"/>
        <charset val="136"/>
      </rPr>
      <t>不适用</t>
    </r>
    <r>
      <rPr>
        <sz val="10"/>
        <color rgb="FF000000"/>
        <rFont val="Arial"/>
        <family val="2"/>
      </rPr>
      <t xml:space="preserve"> 1</t>
    </r>
    <r>
      <rPr>
        <sz val="10"/>
        <color rgb="FF000000"/>
        <rFont val="細明體"/>
        <family val="3"/>
        <charset val="136"/>
      </rPr>
      <t>三式弹</t>
    </r>
    <r>
      <rPr>
        <sz val="10"/>
        <color rgb="FF000000"/>
        <rFont val="Arial"/>
        <family val="2"/>
      </rPr>
      <t xml:space="preserve"> 2</t>
    </r>
    <r>
      <rPr>
        <sz val="10"/>
        <color rgb="FF000000"/>
        <rFont val="細明體"/>
        <family val="3"/>
        <charset val="136"/>
      </rPr>
      <t>火箭弹</t>
    </r>
    <r>
      <rPr>
        <sz val="10"/>
        <color rgb="FF000000"/>
        <rFont val="Arial"/>
        <family val="2"/>
      </rPr>
      <t xml:space="preserve"> 3</t>
    </r>
    <r>
      <rPr>
        <sz val="10"/>
        <color rgb="FF000000"/>
        <rFont val="細明體"/>
        <family val="3"/>
        <charset val="136"/>
      </rPr>
      <t>特大战车</t>
    </r>
  </si>
  <si>
    <r>
      <t>CASE 30 ;</t>
    </r>
    <r>
      <rPr>
        <sz val="10"/>
        <color rgb="FF000000"/>
        <rFont val="細明體"/>
        <family val="3"/>
        <charset val="136"/>
      </rPr>
      <t>铝用量</t>
    </r>
  </si>
  <si>
    <r>
      <t>CASE 31 ;</t>
    </r>
    <r>
      <rPr>
        <sz val="10"/>
        <color rgb="FF000000"/>
        <rFont val="細明體"/>
        <family val="3"/>
        <charset val="136"/>
      </rPr>
      <t>钢用量</t>
    </r>
    <r>
      <rPr>
        <sz val="10"/>
        <color rgb="FF000000"/>
        <rFont val="Arial"/>
        <family val="2"/>
      </rPr>
      <t>x10</t>
    </r>
    <r>
      <rPr>
        <sz val="10"/>
        <color rgb="FF000000"/>
        <rFont val="細明體"/>
        <family val="3"/>
        <charset val="136"/>
      </rPr>
      <t>，喷气机专用</t>
    </r>
  </si>
  <si>
    <r>
      <t>CASE 32 ;</t>
    </r>
    <r>
      <rPr>
        <sz val="10"/>
        <color rgb="FF000000"/>
        <rFont val="細明體"/>
        <family val="3"/>
        <charset val="136"/>
      </rPr>
      <t>飞机用雷装</t>
    </r>
  </si>
  <si>
    <r>
      <t>CASE 33 ;</t>
    </r>
    <r>
      <rPr>
        <sz val="10"/>
        <color rgb="FF000000"/>
        <rFont val="細明體"/>
        <family val="3"/>
        <charset val="136"/>
      </rPr>
      <t>潜艇专用装备，夜战</t>
    </r>
    <r>
      <rPr>
        <sz val="10"/>
        <color rgb="FF000000"/>
        <rFont val="Arial"/>
        <family val="2"/>
      </rPr>
      <t>CI</t>
    </r>
    <r>
      <rPr>
        <sz val="10"/>
        <color rgb="FF000000"/>
        <rFont val="細明體"/>
        <family val="3"/>
        <charset val="136"/>
      </rPr>
      <t>用</t>
    </r>
  </si>
  <si>
    <r>
      <t>CASE 34 ;</t>
    </r>
    <r>
      <rPr>
        <sz val="10"/>
        <color rgb="FF000000"/>
        <rFont val="細明體"/>
        <family val="3"/>
        <charset val="136"/>
      </rPr>
      <t>适重等级，计算主炮适重用</t>
    </r>
  </si>
  <si>
    <r>
      <t>CASE 35 ;</t>
    </r>
    <r>
      <rPr>
        <sz val="10"/>
        <color rgb="FF000000"/>
        <rFont val="細明體"/>
        <family val="3"/>
        <charset val="136"/>
      </rPr>
      <t>子分类，</t>
    </r>
    <r>
      <rPr>
        <sz val="10"/>
        <color rgb="FF000000"/>
        <rFont val="Arial"/>
        <family val="2"/>
      </rPr>
      <t>1</t>
    </r>
    <r>
      <rPr>
        <sz val="10"/>
        <color rgb="FF000000"/>
        <rFont val="細明體"/>
        <family val="3"/>
        <charset val="136"/>
      </rPr>
      <t>柴油机，</t>
    </r>
    <r>
      <rPr>
        <sz val="10"/>
        <color rgb="FF000000"/>
        <rFont val="Arial"/>
        <family val="2"/>
      </rPr>
      <t>2</t>
    </r>
    <r>
      <rPr>
        <sz val="10"/>
        <color rgb="FF000000"/>
        <rFont val="細明體"/>
        <family val="3"/>
        <charset val="136"/>
      </rPr>
      <t>待定，</t>
    </r>
    <r>
      <rPr>
        <sz val="10"/>
        <color rgb="FF000000"/>
        <rFont val="Arial"/>
        <family val="2"/>
      </rPr>
      <t>3</t>
    </r>
    <r>
      <rPr>
        <sz val="10"/>
        <color rgb="FF000000"/>
        <rFont val="細明體"/>
        <family val="3"/>
        <charset val="136"/>
      </rPr>
      <t>对空炮弹，</t>
    </r>
    <r>
      <rPr>
        <sz val="10"/>
        <color rgb="FF000000"/>
        <rFont val="Arial"/>
        <family val="2"/>
      </rPr>
      <t>4</t>
    </r>
    <r>
      <rPr>
        <sz val="10"/>
        <color rgb="FF000000"/>
        <rFont val="細明體"/>
        <family val="3"/>
        <charset val="136"/>
      </rPr>
      <t>对舰炮弹，</t>
    </r>
    <r>
      <rPr>
        <sz val="10"/>
        <color rgb="FF000000"/>
        <rFont val="Arial"/>
        <family val="2"/>
      </rPr>
      <t>5</t>
    </r>
    <r>
      <rPr>
        <sz val="10"/>
        <color rgb="FF000000"/>
        <rFont val="細明體"/>
        <family val="3"/>
        <charset val="136"/>
      </rPr>
      <t>飞机用特殊弹，</t>
    </r>
    <r>
      <rPr>
        <sz val="10"/>
        <color rgb="FF000000"/>
        <rFont val="Arial"/>
        <family val="2"/>
      </rPr>
      <t>6</t>
    </r>
    <r>
      <rPr>
        <sz val="10"/>
        <color rgb="FF000000"/>
        <rFont val="細明體"/>
        <family val="3"/>
        <charset val="136"/>
      </rPr>
      <t>导弹，</t>
    </r>
    <r>
      <rPr>
        <sz val="10"/>
        <color rgb="FF000000"/>
        <rFont val="Arial"/>
        <family val="2"/>
      </rPr>
      <t>7</t>
    </r>
    <r>
      <rPr>
        <sz val="10"/>
        <color rgb="FF000000"/>
        <rFont val="細明體"/>
        <family val="3"/>
        <charset val="136"/>
      </rPr>
      <t>发射架，</t>
    </r>
    <r>
      <rPr>
        <sz val="10"/>
        <color rgb="FF000000"/>
        <rFont val="Arial"/>
        <family val="2"/>
      </rPr>
      <t>8</t>
    </r>
    <r>
      <rPr>
        <sz val="10"/>
        <color rgb="FF000000"/>
        <rFont val="細明體"/>
        <family val="3"/>
        <charset val="136"/>
      </rPr>
      <t>投射机，</t>
    </r>
    <r>
      <rPr>
        <sz val="10"/>
        <color rgb="FF000000"/>
        <rFont val="Arial"/>
        <family val="2"/>
      </rPr>
      <t>9</t>
    </r>
    <r>
      <rPr>
        <sz val="10"/>
        <color rgb="FF000000"/>
        <rFont val="細明體"/>
        <family val="3"/>
        <charset val="136"/>
      </rPr>
      <t>轨道</t>
    </r>
  </si>
  <si>
    <r>
      <t>CASE 36 ;</t>
    </r>
    <r>
      <rPr>
        <sz val="10"/>
        <color rgb="FF000000"/>
        <rFont val="細明體"/>
        <family val="3"/>
        <charset val="136"/>
      </rPr>
      <t>涡轮加值</t>
    </r>
  </si>
  <si>
    <r>
      <t>CASE 37 ;</t>
    </r>
    <r>
      <rPr>
        <sz val="10"/>
        <color rgb="FF000000"/>
        <rFont val="細明體"/>
        <family val="3"/>
        <charset val="136"/>
      </rPr>
      <t>锅炉加值</t>
    </r>
  </si>
  <si>
    <t>RETURN 1</t>
    <phoneticPr fontId="2" type="noConversion"/>
  </si>
  <si>
    <t>RETURNF 0</t>
    <phoneticPr fontId="2" type="noConversion"/>
  </si>
  <si>
    <t xml:space="preserve">    RVALUE = 1</t>
    <phoneticPr fontId="2" type="noConversion"/>
  </si>
  <si>
    <t>;舰载机数量</t>
  </si>
  <si>
    <r>
      <rPr>
        <sz val="10"/>
        <color rgb="FF000000"/>
        <rFont val="ＭＳ Ｐゴシック"/>
        <family val="2"/>
        <charset val="128"/>
      </rPr>
      <t>;</t>
    </r>
    <r>
      <rPr>
        <sz val="10"/>
        <color rgb="FF000000"/>
        <rFont val="細明體"/>
        <family val="3"/>
        <charset val="136"/>
      </rPr>
      <t>改二后属性火力装甲雷装回避对空对潜索敌运</t>
    </r>
  </si>
  <si>
    <t>;舰载机装备数量</t>
  </si>
  <si>
    <t>ID</t>
    <phoneticPr fontId="6" type="noConversion"/>
  </si>
  <si>
    <r>
      <t>;</t>
    </r>
    <r>
      <rPr>
        <sz val="10"/>
        <color rgb="FF000000"/>
        <rFont val="細明體"/>
        <family val="3"/>
        <charset val="136"/>
      </rPr>
      <t>初始装备，</t>
    </r>
    <r>
      <rPr>
        <sz val="10"/>
        <color rgb="FF000000"/>
        <rFont val="Arial"/>
        <family val="2"/>
        <charset val="1"/>
      </rPr>
      <t>0</t>
    </r>
    <r>
      <rPr>
        <sz val="10"/>
        <color rgb="FF000000"/>
        <rFont val="細明體"/>
        <family val="3"/>
        <charset val="136"/>
      </rPr>
      <t>代表没有，</t>
    </r>
    <r>
      <rPr>
        <sz val="10"/>
        <color rgb="FF000000"/>
        <rFont val="Arial"/>
        <family val="2"/>
        <charset val="1"/>
      </rPr>
      <t>-1</t>
    </r>
    <r>
      <rPr>
        <sz val="10"/>
        <color rgb="FF000000"/>
        <rFont val="細明體"/>
        <family val="3"/>
        <charset val="136"/>
      </rPr>
      <t>代表不能装备</t>
    </r>
  </si>
  <si>
    <t>Total Custom Level</t>
    <phoneticPr fontId="6" type="noConversion"/>
  </si>
  <si>
    <t>;改装后装备</t>
  </si>
  <si>
    <t>Custom 3</t>
  </si>
  <si>
    <t>Custom 4</t>
  </si>
  <si>
    <t>Custom 5</t>
  </si>
  <si>
    <t>;改三后属性火力装甲雷装回避对空对潜索敌运</t>
  </si>
  <si>
    <t>;改四后属性火力装甲雷装回避对空对潜索敌运</t>
  </si>
  <si>
    <t>;改五后属性火力装甲雷装回避对空对潜索敌运</t>
  </si>
  <si>
    <t>龙凤</t>
  </si>
  <si>
    <r>
      <t>吕</t>
    </r>
    <r>
      <rPr>
        <sz val="10"/>
        <color theme="1"/>
        <rFont val="Arial"/>
        <family val="2"/>
        <charset val="136"/>
      </rPr>
      <t>500</t>
    </r>
  </si>
  <si>
    <t>Italia</t>
  </si>
  <si>
    <t>Верный</t>
  </si>
  <si>
    <t>О.Революция</t>
  </si>
  <si>
    <t>十月革命</t>
  </si>
  <si>
    <t>护卫空母</t>
  </si>
  <si>
    <t>大鹰</t>
  </si>
  <si>
    <t>飞行艇母舰</t>
  </si>
  <si>
    <t>海防舰</t>
  </si>
  <si>
    <r>
      <t>爆装</t>
    </r>
    <r>
      <rPr>
        <sz val="10"/>
        <color theme="1"/>
        <rFont val="Arial"/>
        <family val="2"/>
        <charset val="136"/>
      </rPr>
      <t xml:space="preserve"> 5, </t>
    </r>
    <r>
      <rPr>
        <sz val="10"/>
        <color theme="1"/>
        <rFont val="細明體"/>
        <family val="3"/>
        <charset val="136"/>
      </rPr>
      <t>机雷</t>
    </r>
    <r>
      <rPr>
        <sz val="10"/>
        <color theme="1"/>
        <rFont val="Arial"/>
        <family val="2"/>
        <charset val="136"/>
      </rPr>
      <t xml:space="preserve"> -3</t>
    </r>
    <phoneticPr fontId="2" type="noConversion"/>
  </si>
  <si>
    <t>Marceau</t>
  </si>
  <si>
    <t>长春</t>
  </si>
  <si>
    <t>导弹装备</t>
  </si>
  <si>
    <t>Lützow</t>
  </si>
  <si>
    <t>吕佐夫</t>
  </si>
  <si>
    <t>炮击战火力+2</t>
    <phoneticPr fontId="2" type="noConversion"/>
  </si>
  <si>
    <t>命中</t>
    <phoneticPr fontId="2" type="noConversion"/>
  </si>
  <si>
    <t>夜战命中+7</t>
    <phoneticPr fontId="6" type="noConversion"/>
  </si>
  <si>
    <r>
      <rPr>
        <sz val="10"/>
        <color rgb="FF000000"/>
        <rFont val="細明體"/>
        <family val="3"/>
        <charset val="136"/>
      </rPr>
      <t>制空値</t>
    </r>
    <r>
      <rPr>
        <sz val="10"/>
        <color theme="1"/>
        <rFont val="Arial"/>
        <family val="2"/>
        <charset val="136"/>
      </rPr>
      <t>1</t>
    </r>
    <phoneticPr fontId="6" type="noConversion"/>
  </si>
  <si>
    <r>
      <rPr>
        <sz val="10"/>
        <color rgb="FF000000"/>
        <rFont val="細明體"/>
        <family val="3"/>
        <charset val="136"/>
      </rPr>
      <t>制空値</t>
    </r>
    <r>
      <rPr>
        <sz val="10"/>
        <color theme="1"/>
        <rFont val="Arial"/>
        <family val="2"/>
        <charset val="136"/>
      </rPr>
      <t>2</t>
    </r>
    <r>
      <rPr>
        <sz val="10"/>
        <color theme="1"/>
        <rFont val="Arial"/>
        <family val="2"/>
        <charset val="136"/>
      </rPr>
      <t/>
    </r>
  </si>
  <si>
    <r>
      <rPr>
        <sz val="10"/>
        <color rgb="FF000000"/>
        <rFont val="細明體"/>
        <family val="3"/>
        <charset val="136"/>
      </rPr>
      <t>制空値</t>
    </r>
    <r>
      <rPr>
        <sz val="10"/>
        <color theme="1"/>
        <rFont val="Arial"/>
        <family val="2"/>
        <charset val="136"/>
      </rPr>
      <t>3</t>
    </r>
    <r>
      <rPr>
        <sz val="10"/>
        <color theme="1"/>
        <rFont val="Arial"/>
        <family val="2"/>
        <charset val="136"/>
      </rPr>
      <t/>
    </r>
  </si>
  <si>
    <r>
      <rPr>
        <sz val="10"/>
        <color rgb="FF000000"/>
        <rFont val="細明體"/>
        <family val="3"/>
        <charset val="136"/>
      </rPr>
      <t>制空値</t>
    </r>
    <r>
      <rPr>
        <sz val="10"/>
        <color theme="1"/>
        <rFont val="Arial"/>
        <family val="2"/>
        <charset val="136"/>
      </rPr>
      <t>4</t>
    </r>
    <r>
      <rPr>
        <sz val="10"/>
        <color theme="1"/>
        <rFont val="Arial"/>
        <family val="2"/>
        <charset val="136"/>
      </rPr>
      <t/>
    </r>
  </si>
  <si>
    <r>
      <rPr>
        <sz val="10"/>
        <color theme="1"/>
        <rFont val="細明體"/>
        <family val="3"/>
        <charset val="136"/>
      </rPr>
      <t>萤火虫</t>
    </r>
    <r>
      <rPr>
        <sz val="10"/>
        <color theme="1"/>
        <rFont val="Arial"/>
        <family val="2"/>
        <charset val="136"/>
      </rPr>
      <t>Mk.</t>
    </r>
    <r>
      <rPr>
        <sz val="10"/>
        <color theme="1"/>
        <rFont val="細明體"/>
        <family val="3"/>
        <charset val="136"/>
      </rPr>
      <t>Ⅰ</t>
    </r>
    <phoneticPr fontId="2" type="noConversion"/>
  </si>
  <si>
    <r>
      <t xml:space="preserve">16”/45 BL Mk.I </t>
    </r>
    <r>
      <rPr>
        <sz val="10"/>
        <color theme="1"/>
        <rFont val="細明體"/>
        <family val="3"/>
        <charset val="136"/>
      </rPr>
      <t>三连装炮改</t>
    </r>
    <phoneticPr fontId="2" type="noConversion"/>
  </si>
  <si>
    <r>
      <t xml:space="preserve">4.5”/45 QF MK.IV </t>
    </r>
    <r>
      <rPr>
        <sz val="10"/>
        <color theme="1"/>
        <rFont val="細明體"/>
        <family val="3"/>
        <charset val="136"/>
      </rPr>
      <t>连装炮</t>
    </r>
    <phoneticPr fontId="2" type="noConversion"/>
  </si>
  <si>
    <t>剑鱼Mk.Ⅲ (熟练)</t>
  </si>
  <si>
    <t>380mm/45 Modèle 1935 四连装炮改</t>
  </si>
  <si>
    <t>152mm/45 Modèle 1936 三连装炮</t>
  </si>
  <si>
    <t>喷火Mk.Ⅴ</t>
  </si>
  <si>
    <t>海喷火LF.Mk.Ⅲ</t>
  </si>
  <si>
    <t>喷火Mk.Ⅸ (熟练)</t>
  </si>
  <si>
    <r>
      <rPr>
        <sz val="10"/>
        <color theme="1"/>
        <rFont val="細明體"/>
        <family val="3"/>
        <charset val="136"/>
      </rPr>
      <t>海喷火</t>
    </r>
    <r>
      <rPr>
        <sz val="10"/>
        <color theme="1"/>
        <rFont val="Arial"/>
        <family val="2"/>
        <charset val="136"/>
      </rPr>
      <t>Mk.</t>
    </r>
    <r>
      <rPr>
        <sz val="10"/>
        <color theme="1"/>
        <rFont val="細明體"/>
        <family val="3"/>
        <charset val="136"/>
      </rPr>
      <t>Ⅱ</t>
    </r>
    <r>
      <rPr>
        <sz val="10"/>
        <color theme="1"/>
        <rFont val="Arial"/>
        <family val="2"/>
        <charset val="136"/>
      </rPr>
      <t>c</t>
    </r>
    <phoneticPr fontId="2" type="noConversion"/>
  </si>
  <si>
    <t>國籍</t>
  </si>
  <si>
    <t>U</t>
  </si>
  <si>
    <t>U</t>
    <phoneticPr fontId="2" type="noConversion"/>
  </si>
  <si>
    <t>G</t>
  </si>
  <si>
    <t>G</t>
    <phoneticPr fontId="2" type="noConversion"/>
  </si>
  <si>
    <t>I</t>
  </si>
  <si>
    <t>E</t>
  </si>
  <si>
    <t>G,E</t>
  </si>
  <si>
    <t>F</t>
  </si>
  <si>
    <t>S</t>
  </si>
  <si>
    <t>C</t>
  </si>
  <si>
    <t>挪威</t>
  </si>
  <si>
    <t>J</t>
  </si>
  <si>
    <t>E,U</t>
  </si>
  <si>
    <t>瑞典</t>
  </si>
  <si>
    <t>J</t>
    <phoneticPr fontId="2" type="noConversion"/>
  </si>
  <si>
    <t>カ号观测机</t>
    <phoneticPr fontId="2" type="noConversion"/>
  </si>
  <si>
    <t>I</t>
    <phoneticPr fontId="2" type="noConversion"/>
  </si>
  <si>
    <t>E,U</t>
    <phoneticPr fontId="2" type="noConversion"/>
  </si>
  <si>
    <t>E</t>
    <phoneticPr fontId="2" type="noConversion"/>
  </si>
  <si>
    <t>F</t>
    <phoneticPr fontId="2" type="noConversion"/>
  </si>
  <si>
    <t>R</t>
    <phoneticPr fontId="2" type="noConversion"/>
  </si>
  <si>
    <t>C</t>
    <phoneticPr fontId="2" type="noConversion"/>
  </si>
  <si>
    <t>種別</t>
  </si>
  <si>
    <r>
      <rPr>
        <sz val="10"/>
        <color theme="1"/>
        <rFont val="細明體"/>
        <family val="3"/>
        <charset val="136"/>
      </rPr>
      <t>剑鱼</t>
    </r>
    <r>
      <rPr>
        <sz val="10"/>
        <color theme="1"/>
        <rFont val="Arial"/>
        <family val="2"/>
        <charset val="136"/>
      </rPr>
      <t>Mk.</t>
    </r>
    <r>
      <rPr>
        <sz val="10"/>
        <color theme="1"/>
        <rFont val="細明體"/>
        <family val="3"/>
        <charset val="136"/>
      </rPr>
      <t>Ⅱ</t>
    </r>
    <r>
      <rPr>
        <sz val="10"/>
        <color theme="1"/>
        <rFont val="Arial"/>
        <family val="2"/>
        <charset val="136"/>
      </rPr>
      <t>(</t>
    </r>
    <r>
      <rPr>
        <sz val="10"/>
        <color theme="1"/>
        <rFont val="細明體"/>
        <family val="3"/>
        <charset val="136"/>
      </rPr>
      <t>熟练</t>
    </r>
    <r>
      <rPr>
        <sz val="10"/>
        <color theme="1"/>
        <rFont val="Arial"/>
        <family val="2"/>
        <charset val="136"/>
      </rPr>
      <t>)</t>
    </r>
    <phoneticPr fontId="2" type="noConversion"/>
  </si>
  <si>
    <t>海燕（爆装）</t>
    <phoneticPr fontId="2" type="noConversion"/>
  </si>
  <si>
    <t>ENDSELECT</t>
  </si>
  <si>
    <t>RETURNF 0</t>
  </si>
  <si>
    <r>
      <rPr>
        <sz val="10"/>
        <color theme="1"/>
        <rFont val="細明體"/>
        <family val="3"/>
        <charset val="136"/>
      </rPr>
      <t>喷火</t>
    </r>
    <r>
      <rPr>
        <sz val="10"/>
        <color theme="1"/>
        <rFont val="Arial"/>
        <family val="2"/>
        <charset val="136"/>
      </rPr>
      <t>Mk.</t>
    </r>
    <r>
      <rPr>
        <sz val="10"/>
        <color theme="1"/>
        <rFont val="細明體"/>
        <family val="3"/>
        <charset val="136"/>
      </rPr>
      <t>Ⅰ</t>
    </r>
    <phoneticPr fontId="2" type="noConversion"/>
  </si>
  <si>
    <r>
      <rPr>
        <sz val="10"/>
        <color theme="1"/>
        <rFont val="細明體"/>
        <family val="3"/>
        <charset val="136"/>
      </rPr>
      <t>剑鱼</t>
    </r>
    <r>
      <rPr>
        <sz val="10"/>
        <color theme="1"/>
        <rFont val="Arial"/>
        <family val="2"/>
        <charset val="136"/>
      </rPr>
      <t>Mk.</t>
    </r>
    <r>
      <rPr>
        <sz val="10"/>
        <color theme="1"/>
        <rFont val="細明體"/>
        <family val="3"/>
        <charset val="136"/>
      </rPr>
      <t>Ⅰ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</si>
</sst>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;\-0;&quot;&quot;"/>
    <numFmt numFmtId="177" formatCode="0;0;&quot;&quot;"/>
  </numFmts>
  <fonts count="13">
    <font>
      <sz val="10"/>
      <color theme="1"/>
      <name val="Arial"/>
      <family val="2"/>
      <charset val="136"/>
    </font>
    <font>
      <sz val="10"/>
      <color theme="1"/>
      <name val="Arial"/>
      <family val="2"/>
      <charset val="136"/>
    </font>
    <font>
      <sz val="9"/>
      <name val="Arial"/>
      <family val="2"/>
      <charset val="136"/>
    </font>
    <font>
      <sz val="10"/>
      <color theme="1"/>
      <name val="細明體"/>
      <family val="3"/>
      <charset val="136"/>
    </font>
    <font>
      <sz val="10"/>
      <color rgb="FF000000"/>
      <name val="ＭＳ Ｐゴシック"/>
      <family val="2"/>
      <charset val="128"/>
    </font>
    <font>
      <sz val="10"/>
      <color rgb="FF000000"/>
      <name val="細明體"/>
      <family val="3"/>
      <charset val="136"/>
    </font>
    <font>
      <sz val="9"/>
      <name val="細明體"/>
      <family val="3"/>
      <charset val="136"/>
    </font>
    <font>
      <sz val="10"/>
      <name val="Arial"/>
      <family val="2"/>
    </font>
    <font>
      <sz val="10"/>
      <name val="Arial"/>
      <family val="2"/>
      <charset val="1"/>
    </font>
    <font>
      <sz val="10"/>
      <name val="細明體"/>
      <family val="3"/>
      <charset val="136"/>
    </font>
    <font>
      <sz val="10"/>
      <color rgb="FF000000"/>
      <name val="Arial"/>
      <family val="2"/>
      <charset val="1"/>
    </font>
    <font>
      <b/>
      <u/>
      <sz val="10"/>
      <color rgb="FF000000"/>
      <name val="Arial"/>
      <family val="2"/>
      <charset val="1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BE5D6"/>
        <bgColor rgb="FFE2F0D9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10" fillId="0" borderId="0">
      <alignment vertical="center"/>
    </xf>
  </cellStyleXfs>
  <cellXfs count="36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176" fontId="5" fillId="0" borderId="0" xfId="0" applyNumberFormat="1" applyFont="1">
      <alignment vertical="center"/>
    </xf>
    <xf numFmtId="0" fontId="3" fillId="0" borderId="0" xfId="0" applyFont="1">
      <alignment vertical="center"/>
    </xf>
    <xf numFmtId="177" fontId="4" fillId="0" borderId="0" xfId="0" applyNumberFormat="1" applyFont="1">
      <alignment vertical="center"/>
    </xf>
    <xf numFmtId="0" fontId="0" fillId="0" borderId="0" xfId="0" applyFont="1">
      <alignment vertical="center"/>
    </xf>
    <xf numFmtId="176" fontId="0" fillId="0" borderId="0" xfId="0" applyNumberFormat="1">
      <alignment vertical="center"/>
    </xf>
    <xf numFmtId="0" fontId="7" fillId="0" borderId="0" xfId="0" applyFont="1" applyFill="1">
      <alignment vertical="center"/>
    </xf>
    <xf numFmtId="0" fontId="0" fillId="0" borderId="0" xfId="0" applyFill="1">
      <alignment vertical="center"/>
    </xf>
    <xf numFmtId="0" fontId="8" fillId="0" borderId="0" xfId="0" applyFont="1" applyFill="1">
      <alignment vertical="center"/>
    </xf>
    <xf numFmtId="176" fontId="0" fillId="0" borderId="0" xfId="0" applyNumberFormat="1" applyFill="1">
      <alignment vertical="center"/>
    </xf>
    <xf numFmtId="0" fontId="4" fillId="2" borderId="0" xfId="0" applyFont="1" applyFill="1">
      <alignment vertical="center"/>
    </xf>
    <xf numFmtId="0" fontId="1" fillId="0" borderId="0" xfId="1">
      <alignment vertical="center"/>
    </xf>
    <xf numFmtId="0" fontId="3" fillId="3" borderId="0" xfId="1" applyFont="1" applyFill="1">
      <alignment vertical="center"/>
    </xf>
    <xf numFmtId="0" fontId="1" fillId="0" borderId="0" xfId="1" applyFont="1">
      <alignment vertical="center"/>
    </xf>
    <xf numFmtId="0" fontId="1" fillId="4" borderId="0" xfId="1" applyFill="1">
      <alignment vertical="center"/>
    </xf>
    <xf numFmtId="0" fontId="3" fillId="0" borderId="0" xfId="1" applyFont="1">
      <alignment vertical="center"/>
    </xf>
    <xf numFmtId="0" fontId="1" fillId="3" borderId="0" xfId="1" applyFont="1" applyFill="1">
      <alignment vertical="center"/>
    </xf>
    <xf numFmtId="0" fontId="1" fillId="4" borderId="0" xfId="1" applyFont="1" applyFill="1">
      <alignment vertical="center"/>
    </xf>
    <xf numFmtId="0" fontId="10" fillId="0" borderId="0" xfId="2">
      <alignment vertical="center"/>
    </xf>
    <xf numFmtId="0" fontId="10" fillId="0" borderId="0" xfId="2" applyFont="1">
      <alignment vertical="center"/>
    </xf>
    <xf numFmtId="0" fontId="10" fillId="0" borderId="0" xfId="2" applyFill="1">
      <alignment vertical="center"/>
    </xf>
    <xf numFmtId="0" fontId="5" fillId="0" borderId="0" xfId="2" applyFont="1">
      <alignment vertical="center"/>
    </xf>
    <xf numFmtId="0" fontId="11" fillId="0" borderId="0" xfId="2" applyFont="1">
      <alignment vertical="center"/>
    </xf>
    <xf numFmtId="0" fontId="10" fillId="3" borderId="1" xfId="2" applyFill="1" applyBorder="1">
      <alignment vertical="center"/>
    </xf>
    <xf numFmtId="0" fontId="10" fillId="0" borderId="1" xfId="2" applyBorder="1">
      <alignment vertical="center"/>
    </xf>
    <xf numFmtId="0" fontId="4" fillId="0" borderId="0" xfId="2" applyFont="1">
      <alignment vertical="center"/>
    </xf>
    <xf numFmtId="0" fontId="10" fillId="0" borderId="1" xfId="2" applyFont="1" applyBorder="1">
      <alignment vertical="center"/>
    </xf>
    <xf numFmtId="0" fontId="12" fillId="0" borderId="0" xfId="2" applyFont="1">
      <alignment vertical="center"/>
    </xf>
    <xf numFmtId="0" fontId="12" fillId="0" borderId="0" xfId="2" applyFont="1" applyFill="1">
      <alignment vertical="center"/>
    </xf>
    <xf numFmtId="0" fontId="12" fillId="3" borderId="1" xfId="2" applyFont="1" applyFill="1" applyBorder="1">
      <alignment vertical="center"/>
    </xf>
    <xf numFmtId="0" fontId="10" fillId="0" borderId="1" xfId="2" applyFill="1" applyBorder="1">
      <alignment vertical="center"/>
    </xf>
    <xf numFmtId="0" fontId="3" fillId="4" borderId="0" xfId="1" applyFont="1" applyFill="1">
      <alignment vertical="center"/>
    </xf>
    <xf numFmtId="0" fontId="0" fillId="3" borderId="0" xfId="0" applyFill="1">
      <alignment vertical="center"/>
    </xf>
    <xf numFmtId="0" fontId="3" fillId="0" borderId="0" xfId="0" applyFont="1" applyFill="1">
      <alignment vertical="center"/>
    </xf>
  </cellXfs>
  <cellStyles count="3">
    <cellStyle name="一般" xfId="0" builtinId="0"/>
    <cellStyle name="一般 2" xfId="1"/>
    <cellStyle name="一般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917"/>
  <sheetViews>
    <sheetView tabSelected="1" zoomScale="85" zoomScaleNormal="85" workbookViewId="0">
      <pane xSplit="4" ySplit="2" topLeftCell="E3" activePane="bottomRight" state="frozen"/>
      <selection pane="topRight" activeCell="D1" sqref="D1"/>
      <selection pane="bottomLeft" activeCell="A3" sqref="A3"/>
      <selection pane="bottomRight" activeCell="AJ691" sqref="AJ691"/>
    </sheetView>
  </sheetViews>
  <sheetFormatPr defaultRowHeight="12.75"/>
  <cols>
    <col min="4" max="4" width="6.7109375" bestFit="1" customWidth="1"/>
    <col min="45" max="48" width="0" hidden="1" customWidth="1"/>
  </cols>
  <sheetData>
    <row r="1" spans="1:51" ht="14.25">
      <c r="E1" s="4" t="s">
        <v>699</v>
      </c>
      <c r="F1" s="4"/>
      <c r="G1" s="4"/>
      <c r="H1" s="4" t="s">
        <v>704</v>
      </c>
      <c r="I1" s="4"/>
      <c r="J1" s="4"/>
      <c r="K1" s="4" t="s">
        <v>699</v>
      </c>
      <c r="L1" s="4"/>
      <c r="M1" s="4"/>
      <c r="N1" s="4"/>
      <c r="O1" s="4"/>
      <c r="P1" s="4"/>
      <c r="Q1" s="4"/>
      <c r="R1" s="4"/>
      <c r="AB1" s="4" t="s">
        <v>732</v>
      </c>
    </row>
    <row r="2" spans="1:51" ht="14.25">
      <c r="A2" s="4" t="s">
        <v>696</v>
      </c>
      <c r="B2" s="4" t="s">
        <v>697</v>
      </c>
      <c r="C2" s="4" t="s">
        <v>698</v>
      </c>
      <c r="D2" s="4" t="s">
        <v>729</v>
      </c>
      <c r="E2" s="4" t="s">
        <v>700</v>
      </c>
      <c r="F2" s="4" t="s">
        <v>701</v>
      </c>
      <c r="G2" s="4" t="s">
        <v>702</v>
      </c>
      <c r="H2" s="4" t="s">
        <v>703</v>
      </c>
      <c r="I2" s="4" t="s">
        <v>705</v>
      </c>
      <c r="J2" s="4" t="s">
        <v>706</v>
      </c>
      <c r="K2" s="4" t="s">
        <v>707</v>
      </c>
      <c r="L2" s="4" t="s">
        <v>709</v>
      </c>
      <c r="M2" s="4" t="s">
        <v>710</v>
      </c>
      <c r="N2" s="4" t="s">
        <v>711</v>
      </c>
      <c r="O2" s="4" t="s">
        <v>712</v>
      </c>
      <c r="P2" s="4" t="s">
        <v>713</v>
      </c>
      <c r="Q2" s="4" t="s">
        <v>714</v>
      </c>
      <c r="R2" s="4" t="s">
        <v>715</v>
      </c>
      <c r="S2" s="4" t="s">
        <v>716</v>
      </c>
      <c r="T2" s="4" t="s">
        <v>717</v>
      </c>
      <c r="U2" s="4" t="s">
        <v>718</v>
      </c>
      <c r="V2" s="4" t="s">
        <v>719</v>
      </c>
      <c r="W2" s="4" t="s">
        <v>521</v>
      </c>
      <c r="X2" s="4" t="s">
        <v>720</v>
      </c>
      <c r="Y2" s="4" t="s">
        <v>519</v>
      </c>
      <c r="Z2" s="4" t="s">
        <v>526</v>
      </c>
      <c r="AA2" s="4" t="s">
        <v>527</v>
      </c>
      <c r="AB2" s="4" t="s">
        <v>513</v>
      </c>
      <c r="AC2" s="4" t="s">
        <v>714</v>
      </c>
      <c r="AD2" s="4" t="s">
        <v>716</v>
      </c>
      <c r="AE2" s="4" t="s">
        <v>713</v>
      </c>
      <c r="AF2" s="4" t="s">
        <v>720</v>
      </c>
      <c r="AG2" s="4" t="s">
        <v>715</v>
      </c>
      <c r="AH2" s="4" t="s">
        <v>717</v>
      </c>
      <c r="AI2" s="4" t="s">
        <v>719</v>
      </c>
      <c r="AJ2" s="4" t="s">
        <v>721</v>
      </c>
      <c r="AK2" s="4" t="s">
        <v>722</v>
      </c>
      <c r="AL2" s="4" t="s">
        <v>727</v>
      </c>
      <c r="AM2" s="4" t="s">
        <v>728</v>
      </c>
      <c r="AN2" s="4" t="s">
        <v>723</v>
      </c>
      <c r="AO2" s="4" t="s">
        <v>724</v>
      </c>
      <c r="AP2" s="4" t="s">
        <v>725</v>
      </c>
      <c r="AQ2" s="4" t="s">
        <v>726</v>
      </c>
      <c r="AR2" s="4" t="s">
        <v>735</v>
      </c>
      <c r="AS2" t="s">
        <v>1403</v>
      </c>
      <c r="AT2" t="s">
        <v>1404</v>
      </c>
      <c r="AU2" t="s">
        <v>1405</v>
      </c>
      <c r="AV2" t="s">
        <v>1406</v>
      </c>
      <c r="AW2" t="s">
        <v>1318</v>
      </c>
      <c r="AX2" t="s">
        <v>733</v>
      </c>
      <c r="AY2" s="1" t="s">
        <v>523</v>
      </c>
    </row>
    <row r="3" spans="1:51">
      <c r="A3">
        <v>1</v>
      </c>
      <c r="B3" t="s">
        <v>734</v>
      </c>
      <c r="C3" t="s">
        <v>734</v>
      </c>
      <c r="D3">
        <v>0</v>
      </c>
      <c r="E3">
        <v>2704</v>
      </c>
      <c r="F3">
        <v>1452</v>
      </c>
      <c r="G3">
        <v>1</v>
      </c>
      <c r="H3">
        <v>3</v>
      </c>
      <c r="I3">
        <v>1</v>
      </c>
      <c r="J3">
        <v>5</v>
      </c>
      <c r="K3">
        <v>8</v>
      </c>
      <c r="L3">
        <v>10</v>
      </c>
      <c r="M3">
        <v>80</v>
      </c>
      <c r="N3">
        <v>80</v>
      </c>
      <c r="O3">
        <v>82</v>
      </c>
      <c r="P3">
        <v>75</v>
      </c>
      <c r="Q3">
        <v>0</v>
      </c>
      <c r="R3">
        <v>24</v>
      </c>
      <c r="S3">
        <v>31</v>
      </c>
      <c r="T3">
        <v>0</v>
      </c>
      <c r="U3">
        <v>5</v>
      </c>
      <c r="V3">
        <v>12</v>
      </c>
      <c r="W3">
        <v>3</v>
      </c>
      <c r="X3">
        <v>20</v>
      </c>
      <c r="Y3">
        <v>0</v>
      </c>
      <c r="Z3">
        <v>100</v>
      </c>
      <c r="AA3">
        <v>130</v>
      </c>
      <c r="AB3">
        <v>99</v>
      </c>
      <c r="AC3">
        <v>0</v>
      </c>
      <c r="AD3">
        <v>89</v>
      </c>
      <c r="AE3">
        <v>89</v>
      </c>
      <c r="AF3">
        <v>79</v>
      </c>
      <c r="AG3">
        <v>49</v>
      </c>
      <c r="AH3">
        <v>0</v>
      </c>
      <c r="AI3">
        <v>39</v>
      </c>
      <c r="AJ3">
        <v>8</v>
      </c>
      <c r="AK3">
        <v>4</v>
      </c>
      <c r="AL3">
        <v>25</v>
      </c>
      <c r="AM3">
        <v>0</v>
      </c>
      <c r="AN3">
        <v>3</v>
      </c>
      <c r="AO3">
        <v>3</v>
      </c>
      <c r="AP3">
        <v>3</v>
      </c>
      <c r="AQ3">
        <v>3</v>
      </c>
      <c r="AR3">
        <f>SUM(AN3:AQ3)</f>
        <v>12</v>
      </c>
      <c r="AS3">
        <f>IF(AND(IFERROR(VLOOKUP(AJ3,Equip!$A:$N,13,FALSE),0)&gt;=5,IFERROR(VLOOKUP(AJ3,Equip!$A:$N,13,FALSE),0)&lt;=9),INT(VLOOKUP(AJ3,Equip!$A:$N,6,FALSE)*SQRT(AN3)),0)</f>
        <v>0</v>
      </c>
      <c r="AT3">
        <f>IF(AND(IFERROR(VLOOKUP(AK3,Equip!$A:$N,13,FALSE),0)&gt;=5,IFERROR(VLOOKUP(AK3,Equip!$A:$N,13,FALSE),0)&lt;=9),INT(VLOOKUP(AK3,Equip!$A:$N,6,FALSE)*SQRT(AO3)),0)</f>
        <v>0</v>
      </c>
      <c r="AU3">
        <f>IF(AND(IFERROR(VLOOKUP(AL3,Equip!$A:$N,13,FALSE),0)&gt;=5,IFERROR(VLOOKUP(AL3,Equip!$A:$N,13,FALSE),0)&lt;=9),INT(VLOOKUP(AL3,Equip!$A:$N,6,FALSE)*SQRT(AP3)),0)</f>
        <v>0</v>
      </c>
      <c r="AV3">
        <f>IF(AND(IFERROR(VLOOKUP(AM3,Equip!$A:$N,13,FALSE),0)&gt;=5,IFERROR(VLOOKUP(AM3,Equip!$A:$N,13,FALSE),0)&lt;=9),INT(VLOOKUP(AM3,Equip!$A:$N,6,FALSE)*SQRT(AQ3)),0)</f>
        <v>0</v>
      </c>
      <c r="AW3">
        <f>SUM(AS3:AV3)</f>
        <v>0</v>
      </c>
      <c r="AX3">
        <f>SUM(N3,AB3:AE3,AG3:AI3)</f>
        <v>445</v>
      </c>
    </row>
    <row r="4" spans="1:51" ht="14.25">
      <c r="A4">
        <v>1</v>
      </c>
      <c r="B4" t="s">
        <v>734</v>
      </c>
      <c r="C4" t="s">
        <v>734</v>
      </c>
      <c r="D4">
        <v>1</v>
      </c>
      <c r="E4">
        <f>E3</f>
        <v>2704</v>
      </c>
      <c r="F4">
        <f t="shared" ref="F4:J4" si="0">F3</f>
        <v>1452</v>
      </c>
      <c r="G4">
        <f t="shared" si="0"/>
        <v>1</v>
      </c>
      <c r="H4">
        <f t="shared" si="0"/>
        <v>3</v>
      </c>
      <c r="I4">
        <f t="shared" si="0"/>
        <v>1</v>
      </c>
      <c r="J4">
        <f t="shared" si="0"/>
        <v>5</v>
      </c>
      <c r="K4">
        <v>8</v>
      </c>
      <c r="L4">
        <v>10</v>
      </c>
      <c r="M4">
        <v>90</v>
      </c>
      <c r="N4">
        <v>90</v>
      </c>
      <c r="O4">
        <v>90</v>
      </c>
      <c r="P4">
        <v>85</v>
      </c>
      <c r="Q4">
        <v>0</v>
      </c>
      <c r="R4">
        <v>24</v>
      </c>
      <c r="S4">
        <v>33</v>
      </c>
      <c r="T4">
        <v>0</v>
      </c>
      <c r="U4">
        <f t="shared" ref="U4:Y69" si="1">U3</f>
        <v>5</v>
      </c>
      <c r="V4">
        <v>15</v>
      </c>
      <c r="W4">
        <f t="shared" si="1"/>
        <v>3</v>
      </c>
      <c r="X4">
        <v>32</v>
      </c>
      <c r="Y4">
        <f t="shared" si="1"/>
        <v>0</v>
      </c>
      <c r="Z4">
        <v>100</v>
      </c>
      <c r="AA4">
        <v>160</v>
      </c>
      <c r="AB4">
        <v>99</v>
      </c>
      <c r="AC4">
        <v>0</v>
      </c>
      <c r="AD4">
        <v>99</v>
      </c>
      <c r="AE4">
        <v>98</v>
      </c>
      <c r="AF4">
        <v>99</v>
      </c>
      <c r="AG4">
        <v>69</v>
      </c>
      <c r="AH4">
        <v>0</v>
      </c>
      <c r="AI4">
        <v>49</v>
      </c>
      <c r="AJ4">
        <v>8</v>
      </c>
      <c r="AK4">
        <v>8</v>
      </c>
      <c r="AL4">
        <v>25</v>
      </c>
      <c r="AM4">
        <v>0</v>
      </c>
      <c r="AN4">
        <v>3</v>
      </c>
      <c r="AO4">
        <v>3</v>
      </c>
      <c r="AP4">
        <v>3</v>
      </c>
      <c r="AQ4">
        <v>3</v>
      </c>
      <c r="AR4">
        <f>SUM(AN4:AQ4)</f>
        <v>12</v>
      </c>
      <c r="AS4">
        <f>IF(AND(IFERROR(VLOOKUP(AJ4,Equip!$A:$N,13,FALSE),0)&gt;=5,IFERROR(VLOOKUP(AJ4,Equip!$A:$N,13,FALSE),0)&lt;=9),INT(VLOOKUP(AJ4,Equip!$A:$N,6,FALSE)*SQRT(AN4)),0)</f>
        <v>0</v>
      </c>
      <c r="AT4">
        <f>IF(AND(IFERROR(VLOOKUP(AK4,Equip!$A:$N,13,FALSE),0)&gt;=5,IFERROR(VLOOKUP(AK4,Equip!$A:$N,13,FALSE),0)&lt;=9),INT(VLOOKUP(AK4,Equip!$A:$N,6,FALSE)*SQRT(AO4)),0)</f>
        <v>0</v>
      </c>
      <c r="AU4">
        <f>IF(AND(IFERROR(VLOOKUP(AL4,Equip!$A:$N,13,FALSE),0)&gt;=5,IFERROR(VLOOKUP(AL4,Equip!$A:$N,13,FALSE),0)&lt;=9),INT(VLOOKUP(AL4,Equip!$A:$N,6,FALSE)*SQRT(AP4)),0)</f>
        <v>0</v>
      </c>
      <c r="AV4">
        <f>IF(AND(IFERROR(VLOOKUP(AM4,Equip!$A:$N,13,FALSE),0)&gt;=5,IFERROR(VLOOKUP(AM4,Equip!$A:$N,13,FALSE),0)&lt;=9),INT(VLOOKUP(AM4,Equip!$A:$N,6,FALSE)*SQRT(AQ4)),0)</f>
        <v>0</v>
      </c>
      <c r="AW4">
        <f t="shared" ref="AW4:AW67" si="2">SUM(AS4:AV4)</f>
        <v>0</v>
      </c>
      <c r="AX4">
        <f t="shared" ref="AX4:AX67" si="3">SUM(N4,AB4:AE4,AG4:AI4)</f>
        <v>504</v>
      </c>
      <c r="AY4" s="4"/>
    </row>
    <row r="5" spans="1:51" ht="14.25">
      <c r="A5">
        <v>1</v>
      </c>
      <c r="B5" t="s">
        <v>734</v>
      </c>
      <c r="C5" t="s">
        <v>734</v>
      </c>
      <c r="D5">
        <v>2</v>
      </c>
      <c r="E5">
        <f>E4</f>
        <v>2704</v>
      </c>
      <c r="F5">
        <f t="shared" ref="F5" si="4">F4</f>
        <v>1452</v>
      </c>
      <c r="G5">
        <f t="shared" ref="G5" si="5">G4</f>
        <v>1</v>
      </c>
      <c r="H5">
        <f t="shared" ref="H5" si="6">H4</f>
        <v>3</v>
      </c>
      <c r="I5">
        <f t="shared" ref="I5" si="7">I4</f>
        <v>1</v>
      </c>
      <c r="J5">
        <f t="shared" ref="J5" si="8">J4</f>
        <v>5</v>
      </c>
      <c r="K5">
        <v>8</v>
      </c>
      <c r="L5">
        <v>11</v>
      </c>
      <c r="M5">
        <v>91</v>
      </c>
      <c r="N5">
        <v>91</v>
      </c>
      <c r="O5">
        <v>91</v>
      </c>
      <c r="P5">
        <v>88</v>
      </c>
      <c r="Q5">
        <v>0</v>
      </c>
      <c r="R5">
        <v>25</v>
      </c>
      <c r="S5">
        <v>40</v>
      </c>
      <c r="T5">
        <v>0</v>
      </c>
      <c r="U5">
        <v>8</v>
      </c>
      <c r="V5">
        <v>16</v>
      </c>
      <c r="W5">
        <f t="shared" si="1"/>
        <v>3</v>
      </c>
      <c r="X5">
        <v>40</v>
      </c>
      <c r="Y5">
        <f t="shared" si="1"/>
        <v>0</v>
      </c>
      <c r="Z5">
        <v>180</v>
      </c>
      <c r="AA5">
        <v>225</v>
      </c>
      <c r="AB5">
        <v>118</v>
      </c>
      <c r="AC5">
        <v>0</v>
      </c>
      <c r="AD5">
        <v>100</v>
      </c>
      <c r="AE5">
        <v>110</v>
      </c>
      <c r="AF5">
        <v>108</v>
      </c>
      <c r="AG5">
        <v>70</v>
      </c>
      <c r="AH5">
        <v>0</v>
      </c>
      <c r="AI5">
        <v>55</v>
      </c>
      <c r="AJ5">
        <v>105</v>
      </c>
      <c r="AK5">
        <v>8</v>
      </c>
      <c r="AL5">
        <v>71</v>
      </c>
      <c r="AM5">
        <v>73</v>
      </c>
      <c r="AN5">
        <v>3</v>
      </c>
      <c r="AO5">
        <v>3</v>
      </c>
      <c r="AP5">
        <v>6</v>
      </c>
      <c r="AQ5">
        <v>3</v>
      </c>
      <c r="AR5">
        <f>SUM(AN5:AQ5)</f>
        <v>15</v>
      </c>
      <c r="AS5">
        <f>IF(AND(IFERROR(VLOOKUP(AJ5,Equip!$A:$N,13,FALSE),0)&gt;=5,IFERROR(VLOOKUP(AJ5,Equip!$A:$N,13,FALSE),0)&lt;=9),INT(VLOOKUP(AJ5,Equip!$A:$N,6,FALSE)*SQRT(AN5)),0)</f>
        <v>0</v>
      </c>
      <c r="AT5">
        <f>IF(AND(IFERROR(VLOOKUP(AK5,Equip!$A:$N,13,FALSE),0)&gt;=5,IFERROR(VLOOKUP(AK5,Equip!$A:$N,13,FALSE),0)&lt;=9),INT(VLOOKUP(AK5,Equip!$A:$N,6,FALSE)*SQRT(AO5)),0)</f>
        <v>0</v>
      </c>
      <c r="AU5">
        <f>IF(AND(IFERROR(VLOOKUP(AL5,Equip!$A:$N,13,FALSE),0)&gt;=5,IFERROR(VLOOKUP(AL5,Equip!$A:$N,13,FALSE),0)&lt;=9),INT(VLOOKUP(AL5,Equip!$A:$N,6,FALSE)*SQRT(AP5)),0)</f>
        <v>0</v>
      </c>
      <c r="AV5">
        <f>IF(AND(IFERROR(VLOOKUP(AM5,Equip!$A:$N,13,FALSE),0)&gt;=5,IFERROR(VLOOKUP(AM5,Equip!$A:$N,13,FALSE),0)&lt;=9),INT(VLOOKUP(AM5,Equip!$A:$N,6,FALSE)*SQRT(AQ5)),0)</f>
        <v>0</v>
      </c>
      <c r="AW5">
        <f t="shared" si="2"/>
        <v>0</v>
      </c>
      <c r="AX5">
        <f t="shared" si="3"/>
        <v>544</v>
      </c>
      <c r="AY5" s="4"/>
    </row>
    <row r="6" spans="1:51">
      <c r="A6">
        <v>2</v>
      </c>
      <c r="B6" t="s">
        <v>736</v>
      </c>
      <c r="C6" t="s">
        <v>736</v>
      </c>
      <c r="D6">
        <v>0</v>
      </c>
      <c r="E6">
        <v>2704</v>
      </c>
      <c r="F6">
        <v>1452</v>
      </c>
      <c r="G6">
        <v>2</v>
      </c>
      <c r="H6">
        <v>2</v>
      </c>
      <c r="I6">
        <v>1</v>
      </c>
      <c r="J6">
        <v>1</v>
      </c>
      <c r="K6">
        <v>8</v>
      </c>
      <c r="L6">
        <v>10</v>
      </c>
      <c r="M6">
        <v>80</v>
      </c>
      <c r="N6">
        <v>80</v>
      </c>
      <c r="O6">
        <v>82</v>
      </c>
      <c r="P6">
        <v>75</v>
      </c>
      <c r="Q6">
        <v>0</v>
      </c>
      <c r="R6">
        <v>24</v>
      </c>
      <c r="S6">
        <v>31</v>
      </c>
      <c r="T6">
        <v>0</v>
      </c>
      <c r="U6">
        <v>5</v>
      </c>
      <c r="V6">
        <v>12</v>
      </c>
      <c r="W6">
        <v>3</v>
      </c>
      <c r="X6">
        <v>3</v>
      </c>
      <c r="Y6">
        <v>0</v>
      </c>
      <c r="Z6">
        <v>100</v>
      </c>
      <c r="AA6">
        <v>130</v>
      </c>
      <c r="AB6">
        <v>99</v>
      </c>
      <c r="AC6">
        <v>0</v>
      </c>
      <c r="AD6">
        <v>89</v>
      </c>
      <c r="AE6">
        <v>89</v>
      </c>
      <c r="AF6">
        <v>39</v>
      </c>
      <c r="AG6">
        <v>49</v>
      </c>
      <c r="AH6">
        <v>0</v>
      </c>
      <c r="AI6">
        <v>39</v>
      </c>
      <c r="AJ6">
        <v>8</v>
      </c>
      <c r="AK6">
        <v>4</v>
      </c>
      <c r="AL6">
        <v>25</v>
      </c>
      <c r="AM6">
        <v>0</v>
      </c>
      <c r="AN6">
        <v>3</v>
      </c>
      <c r="AO6">
        <v>3</v>
      </c>
      <c r="AP6">
        <v>3</v>
      </c>
      <c r="AQ6">
        <v>3</v>
      </c>
      <c r="AR6">
        <f t="shared" ref="AR6:AR69" si="9">SUM(AN6:AQ6)</f>
        <v>12</v>
      </c>
      <c r="AS6">
        <f>IF(AND(IFERROR(VLOOKUP(AJ6,Equip!$A:$N,13,FALSE),0)&gt;=5,IFERROR(VLOOKUP(AJ6,Equip!$A:$N,13,FALSE),0)&lt;=9),INT(VLOOKUP(AJ6,Equip!$A:$N,6,FALSE)*SQRT(AN6)),0)</f>
        <v>0</v>
      </c>
      <c r="AT6">
        <f>IF(AND(IFERROR(VLOOKUP(AK6,Equip!$A:$N,13,FALSE),0)&gt;=5,IFERROR(VLOOKUP(AK6,Equip!$A:$N,13,FALSE),0)&lt;=9),INT(VLOOKUP(AK6,Equip!$A:$N,6,FALSE)*SQRT(AO6)),0)</f>
        <v>0</v>
      </c>
      <c r="AU6">
        <f>IF(AND(IFERROR(VLOOKUP(AL6,Equip!$A:$N,13,FALSE),0)&gt;=5,IFERROR(VLOOKUP(AL6,Equip!$A:$N,13,FALSE),0)&lt;=9),INT(VLOOKUP(AL6,Equip!$A:$N,6,FALSE)*SQRT(AP6)),0)</f>
        <v>0</v>
      </c>
      <c r="AV6">
        <f>IF(AND(IFERROR(VLOOKUP(AM6,Equip!$A:$N,13,FALSE),0)&gt;=5,IFERROR(VLOOKUP(AM6,Equip!$A:$N,13,FALSE),0)&lt;=9),INT(VLOOKUP(AM6,Equip!$A:$N,6,FALSE)*SQRT(AQ6)),0)</f>
        <v>0</v>
      </c>
      <c r="AW6">
        <f t="shared" si="2"/>
        <v>0</v>
      </c>
      <c r="AX6">
        <f t="shared" si="3"/>
        <v>445</v>
      </c>
    </row>
    <row r="7" spans="1:51">
      <c r="A7">
        <v>2</v>
      </c>
      <c r="B7" t="s">
        <v>736</v>
      </c>
      <c r="C7" t="s">
        <v>736</v>
      </c>
      <c r="D7">
        <v>1</v>
      </c>
      <c r="E7">
        <f>E6</f>
        <v>2704</v>
      </c>
      <c r="F7">
        <f t="shared" ref="F7" si="10">F6</f>
        <v>1452</v>
      </c>
      <c r="G7">
        <f t="shared" ref="G7" si="11">G6</f>
        <v>2</v>
      </c>
      <c r="H7">
        <f t="shared" ref="H7" si="12">H6</f>
        <v>2</v>
      </c>
      <c r="I7">
        <f t="shared" ref="I7" si="13">I6</f>
        <v>1</v>
      </c>
      <c r="J7">
        <f t="shared" ref="J7" si="14">J6</f>
        <v>1</v>
      </c>
      <c r="K7">
        <v>8</v>
      </c>
      <c r="L7">
        <v>10</v>
      </c>
      <c r="M7">
        <v>90</v>
      </c>
      <c r="N7">
        <v>90</v>
      </c>
      <c r="O7">
        <v>93</v>
      </c>
      <c r="P7">
        <v>87</v>
      </c>
      <c r="Q7">
        <v>0</v>
      </c>
      <c r="R7">
        <v>37</v>
      </c>
      <c r="S7">
        <v>42</v>
      </c>
      <c r="T7">
        <v>0</v>
      </c>
      <c r="U7">
        <f t="shared" si="1"/>
        <v>5</v>
      </c>
      <c r="V7">
        <v>25</v>
      </c>
      <c r="W7">
        <f t="shared" si="1"/>
        <v>3</v>
      </c>
      <c r="X7">
        <v>6</v>
      </c>
      <c r="Y7">
        <f t="shared" si="1"/>
        <v>0</v>
      </c>
      <c r="Z7">
        <v>100</v>
      </c>
      <c r="AA7">
        <v>160</v>
      </c>
      <c r="AB7">
        <v>99</v>
      </c>
      <c r="AC7">
        <v>0</v>
      </c>
      <c r="AD7">
        <v>99</v>
      </c>
      <c r="AE7">
        <v>98</v>
      </c>
      <c r="AF7">
        <v>59</v>
      </c>
      <c r="AG7">
        <v>69</v>
      </c>
      <c r="AH7">
        <v>0</v>
      </c>
      <c r="AI7">
        <v>49</v>
      </c>
      <c r="AJ7">
        <v>8</v>
      </c>
      <c r="AK7">
        <v>8</v>
      </c>
      <c r="AL7">
        <v>25</v>
      </c>
      <c r="AM7">
        <v>0</v>
      </c>
      <c r="AN7">
        <v>3</v>
      </c>
      <c r="AO7">
        <v>3</v>
      </c>
      <c r="AP7">
        <v>3</v>
      </c>
      <c r="AQ7">
        <v>3</v>
      </c>
      <c r="AR7">
        <f t="shared" si="9"/>
        <v>12</v>
      </c>
      <c r="AS7">
        <f>IF(AND(IFERROR(VLOOKUP(AJ7,Equip!$A:$N,13,FALSE),0)&gt;=5,IFERROR(VLOOKUP(AJ7,Equip!$A:$N,13,FALSE),0)&lt;=9),INT(VLOOKUP(AJ7,Equip!$A:$N,6,FALSE)*SQRT(AN7)),0)</f>
        <v>0</v>
      </c>
      <c r="AT7">
        <f>IF(AND(IFERROR(VLOOKUP(AK7,Equip!$A:$N,13,FALSE),0)&gt;=5,IFERROR(VLOOKUP(AK7,Equip!$A:$N,13,FALSE),0)&lt;=9),INT(VLOOKUP(AK7,Equip!$A:$N,6,FALSE)*SQRT(AO7)),0)</f>
        <v>0</v>
      </c>
      <c r="AU7">
        <f>IF(AND(IFERROR(VLOOKUP(AL7,Equip!$A:$N,13,FALSE),0)&gt;=5,IFERROR(VLOOKUP(AL7,Equip!$A:$N,13,FALSE),0)&lt;=9),INT(VLOOKUP(AL7,Equip!$A:$N,6,FALSE)*SQRT(AP7)),0)</f>
        <v>0</v>
      </c>
      <c r="AV7">
        <f>IF(AND(IFERROR(VLOOKUP(AM7,Equip!$A:$N,13,FALSE),0)&gt;=5,IFERROR(VLOOKUP(AM7,Equip!$A:$N,13,FALSE),0)&lt;=9),INT(VLOOKUP(AM7,Equip!$A:$N,6,FALSE)*SQRT(AQ7)),0)</f>
        <v>0</v>
      </c>
      <c r="AW7">
        <f t="shared" si="2"/>
        <v>0</v>
      </c>
      <c r="AX7">
        <f t="shared" si="3"/>
        <v>504</v>
      </c>
    </row>
    <row r="8" spans="1:51">
      <c r="A8">
        <v>3</v>
      </c>
      <c r="B8" t="s">
        <v>737</v>
      </c>
      <c r="C8" t="s">
        <v>737</v>
      </c>
      <c r="D8">
        <v>0</v>
      </c>
      <c r="E8">
        <v>2608</v>
      </c>
      <c r="F8">
        <v>1404</v>
      </c>
      <c r="G8">
        <v>3</v>
      </c>
      <c r="H8">
        <v>3</v>
      </c>
      <c r="I8">
        <v>1</v>
      </c>
      <c r="J8">
        <v>2</v>
      </c>
      <c r="K8">
        <v>8</v>
      </c>
      <c r="L8">
        <v>9</v>
      </c>
      <c r="M8">
        <v>74</v>
      </c>
      <c r="N8">
        <v>74</v>
      </c>
      <c r="O8">
        <v>74</v>
      </c>
      <c r="P8">
        <v>70</v>
      </c>
      <c r="Q8">
        <v>0</v>
      </c>
      <c r="R8">
        <v>22</v>
      </c>
      <c r="S8">
        <v>28</v>
      </c>
      <c r="T8">
        <v>0</v>
      </c>
      <c r="U8">
        <v>5</v>
      </c>
      <c r="V8">
        <v>10</v>
      </c>
      <c r="W8">
        <v>3</v>
      </c>
      <c r="X8">
        <v>15</v>
      </c>
      <c r="Y8">
        <v>0</v>
      </c>
      <c r="Z8">
        <v>85</v>
      </c>
      <c r="AA8">
        <v>120</v>
      </c>
      <c r="AB8">
        <v>89</v>
      </c>
      <c r="AC8">
        <v>0</v>
      </c>
      <c r="AD8">
        <v>79</v>
      </c>
      <c r="AE8">
        <v>89</v>
      </c>
      <c r="AF8">
        <v>69</v>
      </c>
      <c r="AG8">
        <v>49</v>
      </c>
      <c r="AH8">
        <v>0</v>
      </c>
      <c r="AI8">
        <v>36</v>
      </c>
      <c r="AJ8">
        <v>7</v>
      </c>
      <c r="AK8">
        <v>4</v>
      </c>
      <c r="AL8">
        <v>25</v>
      </c>
      <c r="AM8">
        <v>0</v>
      </c>
      <c r="AN8">
        <v>3</v>
      </c>
      <c r="AO8">
        <v>3</v>
      </c>
      <c r="AP8">
        <v>3</v>
      </c>
      <c r="AQ8">
        <v>3</v>
      </c>
      <c r="AR8">
        <f t="shared" si="9"/>
        <v>12</v>
      </c>
      <c r="AS8">
        <f>IF(AND(IFERROR(VLOOKUP(AJ8,Equip!$A:$N,13,FALSE),0)&gt;=5,IFERROR(VLOOKUP(AJ8,Equip!$A:$N,13,FALSE),0)&lt;=9),INT(VLOOKUP(AJ8,Equip!$A:$N,6,FALSE)*SQRT(AN8)),0)</f>
        <v>0</v>
      </c>
      <c r="AT8">
        <f>IF(AND(IFERROR(VLOOKUP(AK8,Equip!$A:$N,13,FALSE),0)&gt;=5,IFERROR(VLOOKUP(AK8,Equip!$A:$N,13,FALSE),0)&lt;=9),INT(VLOOKUP(AK8,Equip!$A:$N,6,FALSE)*SQRT(AO8)),0)</f>
        <v>0</v>
      </c>
      <c r="AU8">
        <f>IF(AND(IFERROR(VLOOKUP(AL8,Equip!$A:$N,13,FALSE),0)&gt;=5,IFERROR(VLOOKUP(AL8,Equip!$A:$N,13,FALSE),0)&lt;=9),INT(VLOOKUP(AL8,Equip!$A:$N,6,FALSE)*SQRT(AP8)),0)</f>
        <v>0</v>
      </c>
      <c r="AV8">
        <f>IF(AND(IFERROR(VLOOKUP(AM8,Equip!$A:$N,13,FALSE),0)&gt;=5,IFERROR(VLOOKUP(AM8,Equip!$A:$N,13,FALSE),0)&lt;=9),INT(VLOOKUP(AM8,Equip!$A:$N,6,FALSE)*SQRT(AQ8)),0)</f>
        <v>0</v>
      </c>
      <c r="AW8">
        <f t="shared" si="2"/>
        <v>0</v>
      </c>
      <c r="AX8">
        <f t="shared" si="3"/>
        <v>416</v>
      </c>
    </row>
    <row r="9" spans="1:51">
      <c r="A9">
        <v>3</v>
      </c>
      <c r="B9" t="s">
        <v>737</v>
      </c>
      <c r="C9" t="s">
        <v>737</v>
      </c>
      <c r="D9">
        <v>1</v>
      </c>
      <c r="E9">
        <f>E8</f>
        <v>2608</v>
      </c>
      <c r="F9">
        <f t="shared" ref="F9" si="15">F8</f>
        <v>1404</v>
      </c>
      <c r="G9">
        <f t="shared" ref="G9" si="16">G8</f>
        <v>3</v>
      </c>
      <c r="H9">
        <f t="shared" ref="H9" si="17">H8</f>
        <v>3</v>
      </c>
      <c r="I9">
        <f t="shared" ref="I9" si="18">I8</f>
        <v>1</v>
      </c>
      <c r="J9">
        <f t="shared" ref="J9" si="19">J8</f>
        <v>2</v>
      </c>
      <c r="K9">
        <v>7</v>
      </c>
      <c r="L9">
        <v>9</v>
      </c>
      <c r="M9">
        <v>77</v>
      </c>
      <c r="N9">
        <v>77</v>
      </c>
      <c r="O9">
        <v>64</v>
      </c>
      <c r="P9">
        <v>75</v>
      </c>
      <c r="Q9">
        <v>0</v>
      </c>
      <c r="R9">
        <v>40</v>
      </c>
      <c r="S9">
        <v>49</v>
      </c>
      <c r="T9">
        <v>0</v>
      </c>
      <c r="U9">
        <f t="shared" si="1"/>
        <v>5</v>
      </c>
      <c r="V9">
        <v>22</v>
      </c>
      <c r="W9">
        <f t="shared" si="1"/>
        <v>3</v>
      </c>
      <c r="X9">
        <v>30</v>
      </c>
      <c r="Y9">
        <f t="shared" si="1"/>
        <v>0</v>
      </c>
      <c r="Z9">
        <v>95</v>
      </c>
      <c r="AA9">
        <v>105</v>
      </c>
      <c r="AB9">
        <v>86</v>
      </c>
      <c r="AC9">
        <v>0</v>
      </c>
      <c r="AD9">
        <v>92</v>
      </c>
      <c r="AE9">
        <v>92</v>
      </c>
      <c r="AF9">
        <v>79</v>
      </c>
      <c r="AG9">
        <v>77</v>
      </c>
      <c r="AH9">
        <v>0</v>
      </c>
      <c r="AI9">
        <v>59</v>
      </c>
      <c r="AJ9">
        <v>7</v>
      </c>
      <c r="AK9">
        <v>26</v>
      </c>
      <c r="AL9">
        <v>0</v>
      </c>
      <c r="AM9">
        <v>0</v>
      </c>
      <c r="AN9">
        <v>11</v>
      </c>
      <c r="AO9">
        <v>11</v>
      </c>
      <c r="AP9">
        <v>11</v>
      </c>
      <c r="AQ9">
        <v>14</v>
      </c>
      <c r="AR9">
        <f t="shared" si="9"/>
        <v>47</v>
      </c>
      <c r="AS9">
        <f>IF(AND(IFERROR(VLOOKUP(AJ9,Equip!$A:$N,13,FALSE),0)&gt;=5,IFERROR(VLOOKUP(AJ9,Equip!$A:$N,13,FALSE),0)&lt;=9),INT(VLOOKUP(AJ9,Equip!$A:$N,6,FALSE)*SQRT(AN9)),0)</f>
        <v>0</v>
      </c>
      <c r="AT9">
        <f>IF(AND(IFERROR(VLOOKUP(AK9,Equip!$A:$N,13,FALSE),0)&gt;=5,IFERROR(VLOOKUP(AK9,Equip!$A:$N,13,FALSE),0)&lt;=9),INT(VLOOKUP(AK9,Equip!$A:$N,6,FALSE)*SQRT(AO9)),0)</f>
        <v>0</v>
      </c>
      <c r="AU9">
        <f>IF(AND(IFERROR(VLOOKUP(AL9,Equip!$A:$N,13,FALSE),0)&gt;=5,IFERROR(VLOOKUP(AL9,Equip!$A:$N,13,FALSE),0)&lt;=9),INT(VLOOKUP(AL9,Equip!$A:$N,6,FALSE)*SQRT(AP9)),0)</f>
        <v>0</v>
      </c>
      <c r="AV9">
        <f>IF(AND(IFERROR(VLOOKUP(AM9,Equip!$A:$N,13,FALSE),0)&gt;=5,IFERROR(VLOOKUP(AM9,Equip!$A:$N,13,FALSE),0)&lt;=9),INT(VLOOKUP(AM9,Equip!$A:$N,6,FALSE)*SQRT(AQ9)),0)</f>
        <v>0</v>
      </c>
      <c r="AW9">
        <f t="shared" si="2"/>
        <v>0</v>
      </c>
      <c r="AX9">
        <f t="shared" si="3"/>
        <v>483</v>
      </c>
    </row>
    <row r="10" spans="1:51">
      <c r="A10">
        <v>4</v>
      </c>
      <c r="B10" t="s">
        <v>738</v>
      </c>
      <c r="C10" t="s">
        <v>738</v>
      </c>
      <c r="D10">
        <v>0</v>
      </c>
      <c r="E10">
        <v>2608</v>
      </c>
      <c r="F10">
        <v>1404</v>
      </c>
      <c r="G10">
        <v>4</v>
      </c>
      <c r="H10">
        <v>3</v>
      </c>
      <c r="I10">
        <v>1</v>
      </c>
      <c r="J10">
        <v>2</v>
      </c>
      <c r="K10">
        <v>8</v>
      </c>
      <c r="L10">
        <v>9</v>
      </c>
      <c r="M10">
        <v>74</v>
      </c>
      <c r="N10">
        <v>74</v>
      </c>
      <c r="O10">
        <v>74</v>
      </c>
      <c r="P10">
        <v>70</v>
      </c>
      <c r="Q10">
        <v>0</v>
      </c>
      <c r="R10">
        <v>22</v>
      </c>
      <c r="S10">
        <v>28</v>
      </c>
      <c r="T10">
        <v>0</v>
      </c>
      <c r="U10">
        <v>5</v>
      </c>
      <c r="V10">
        <v>10</v>
      </c>
      <c r="W10">
        <v>3</v>
      </c>
      <c r="X10">
        <v>15</v>
      </c>
      <c r="Y10">
        <v>0</v>
      </c>
      <c r="Z10">
        <v>85</v>
      </c>
      <c r="AA10">
        <v>120</v>
      </c>
      <c r="AB10">
        <v>94</v>
      </c>
      <c r="AC10">
        <v>0</v>
      </c>
      <c r="AD10">
        <v>79</v>
      </c>
      <c r="AE10">
        <v>89</v>
      </c>
      <c r="AF10">
        <v>69</v>
      </c>
      <c r="AG10">
        <v>49</v>
      </c>
      <c r="AH10">
        <v>0</v>
      </c>
      <c r="AI10">
        <v>36</v>
      </c>
      <c r="AJ10">
        <v>7</v>
      </c>
      <c r="AK10">
        <v>4</v>
      </c>
      <c r="AL10">
        <v>25</v>
      </c>
      <c r="AM10">
        <v>0</v>
      </c>
      <c r="AN10">
        <v>3</v>
      </c>
      <c r="AO10">
        <v>3</v>
      </c>
      <c r="AP10">
        <v>3</v>
      </c>
      <c r="AQ10">
        <v>3</v>
      </c>
      <c r="AR10">
        <f t="shared" si="9"/>
        <v>12</v>
      </c>
      <c r="AS10">
        <f>IF(AND(IFERROR(VLOOKUP(AJ10,Equip!$A:$N,13,FALSE),0)&gt;=5,IFERROR(VLOOKUP(AJ10,Equip!$A:$N,13,FALSE),0)&lt;=9),INT(VLOOKUP(AJ10,Equip!$A:$N,6,FALSE)*SQRT(AN10)),0)</f>
        <v>0</v>
      </c>
      <c r="AT10">
        <f>IF(AND(IFERROR(VLOOKUP(AK10,Equip!$A:$N,13,FALSE),0)&gt;=5,IFERROR(VLOOKUP(AK10,Equip!$A:$N,13,FALSE),0)&lt;=9),INT(VLOOKUP(AK10,Equip!$A:$N,6,FALSE)*SQRT(AO10)),0)</f>
        <v>0</v>
      </c>
      <c r="AU10">
        <f>IF(AND(IFERROR(VLOOKUP(AL10,Equip!$A:$N,13,FALSE),0)&gt;=5,IFERROR(VLOOKUP(AL10,Equip!$A:$N,13,FALSE),0)&lt;=9),INT(VLOOKUP(AL10,Equip!$A:$N,6,FALSE)*SQRT(AP10)),0)</f>
        <v>0</v>
      </c>
      <c r="AV10">
        <f>IF(AND(IFERROR(VLOOKUP(AM10,Equip!$A:$N,13,FALSE),0)&gt;=5,IFERROR(VLOOKUP(AM10,Equip!$A:$N,13,FALSE),0)&lt;=9),INT(VLOOKUP(AM10,Equip!$A:$N,6,FALSE)*SQRT(AQ10)),0)</f>
        <v>0</v>
      </c>
      <c r="AW10">
        <f t="shared" si="2"/>
        <v>0</v>
      </c>
      <c r="AX10">
        <f t="shared" si="3"/>
        <v>421</v>
      </c>
    </row>
    <row r="11" spans="1:51">
      <c r="A11">
        <v>4</v>
      </c>
      <c r="B11" t="s">
        <v>738</v>
      </c>
      <c r="C11" t="s">
        <v>738</v>
      </c>
      <c r="D11">
        <v>1</v>
      </c>
      <c r="E11">
        <f>E10</f>
        <v>2608</v>
      </c>
      <c r="F11">
        <f t="shared" ref="F11" si="20">F10</f>
        <v>1404</v>
      </c>
      <c r="G11">
        <f t="shared" ref="G11" si="21">G10</f>
        <v>4</v>
      </c>
      <c r="H11">
        <f t="shared" ref="H11" si="22">H10</f>
        <v>3</v>
      </c>
      <c r="I11">
        <f t="shared" ref="I11" si="23">I10</f>
        <v>1</v>
      </c>
      <c r="J11">
        <f t="shared" ref="J11" si="24">J10</f>
        <v>2</v>
      </c>
      <c r="K11">
        <v>7</v>
      </c>
      <c r="L11">
        <v>9</v>
      </c>
      <c r="M11">
        <v>77</v>
      </c>
      <c r="N11">
        <v>77</v>
      </c>
      <c r="O11">
        <v>64</v>
      </c>
      <c r="P11">
        <v>75</v>
      </c>
      <c r="Q11">
        <v>0</v>
      </c>
      <c r="R11">
        <v>40</v>
      </c>
      <c r="S11">
        <v>47</v>
      </c>
      <c r="T11">
        <v>0</v>
      </c>
      <c r="U11">
        <f t="shared" si="1"/>
        <v>5</v>
      </c>
      <c r="V11">
        <v>22</v>
      </c>
      <c r="W11">
        <f t="shared" si="1"/>
        <v>3</v>
      </c>
      <c r="X11">
        <v>30</v>
      </c>
      <c r="Y11">
        <f t="shared" si="1"/>
        <v>0</v>
      </c>
      <c r="Z11">
        <v>95</v>
      </c>
      <c r="AA11">
        <v>105</v>
      </c>
      <c r="AB11">
        <v>86</v>
      </c>
      <c r="AC11">
        <v>0</v>
      </c>
      <c r="AD11">
        <v>92</v>
      </c>
      <c r="AE11">
        <v>92</v>
      </c>
      <c r="AF11">
        <v>79</v>
      </c>
      <c r="AG11">
        <v>77</v>
      </c>
      <c r="AH11">
        <v>0</v>
      </c>
      <c r="AI11">
        <v>59</v>
      </c>
      <c r="AJ11">
        <v>7</v>
      </c>
      <c r="AK11">
        <v>26</v>
      </c>
      <c r="AL11">
        <v>0</v>
      </c>
      <c r="AM11">
        <v>0</v>
      </c>
      <c r="AN11">
        <v>11</v>
      </c>
      <c r="AO11">
        <v>11</v>
      </c>
      <c r="AP11">
        <v>11</v>
      </c>
      <c r="AQ11">
        <v>14</v>
      </c>
      <c r="AR11">
        <f t="shared" si="9"/>
        <v>47</v>
      </c>
      <c r="AS11">
        <f>IF(AND(IFERROR(VLOOKUP(AJ11,Equip!$A:$N,13,FALSE),0)&gt;=5,IFERROR(VLOOKUP(AJ11,Equip!$A:$N,13,FALSE),0)&lt;=9),INT(VLOOKUP(AJ11,Equip!$A:$N,6,FALSE)*SQRT(AN11)),0)</f>
        <v>0</v>
      </c>
      <c r="AT11">
        <f>IF(AND(IFERROR(VLOOKUP(AK11,Equip!$A:$N,13,FALSE),0)&gt;=5,IFERROR(VLOOKUP(AK11,Equip!$A:$N,13,FALSE),0)&lt;=9),INT(VLOOKUP(AK11,Equip!$A:$N,6,FALSE)*SQRT(AO11)),0)</f>
        <v>0</v>
      </c>
      <c r="AU11">
        <f>IF(AND(IFERROR(VLOOKUP(AL11,Equip!$A:$N,13,FALSE),0)&gt;=5,IFERROR(VLOOKUP(AL11,Equip!$A:$N,13,FALSE),0)&lt;=9),INT(VLOOKUP(AL11,Equip!$A:$N,6,FALSE)*SQRT(AP11)),0)</f>
        <v>0</v>
      </c>
      <c r="AV11">
        <f>IF(AND(IFERROR(VLOOKUP(AM11,Equip!$A:$N,13,FALSE),0)&gt;=5,IFERROR(VLOOKUP(AM11,Equip!$A:$N,13,FALSE),0)&lt;=9),INT(VLOOKUP(AM11,Equip!$A:$N,6,FALSE)*SQRT(AQ11)),0)</f>
        <v>0</v>
      </c>
      <c r="AW11">
        <f t="shared" si="2"/>
        <v>0</v>
      </c>
      <c r="AX11">
        <f t="shared" si="3"/>
        <v>483</v>
      </c>
    </row>
    <row r="12" spans="1:51">
      <c r="A12">
        <v>5</v>
      </c>
      <c r="B12" t="s">
        <v>739</v>
      </c>
      <c r="C12" t="s">
        <v>739</v>
      </c>
      <c r="D12">
        <v>0</v>
      </c>
      <c r="E12">
        <v>1320</v>
      </c>
      <c r="F12">
        <v>760</v>
      </c>
      <c r="G12">
        <v>5</v>
      </c>
      <c r="H12">
        <v>0</v>
      </c>
      <c r="I12">
        <v>1</v>
      </c>
      <c r="J12">
        <v>3</v>
      </c>
      <c r="K12">
        <v>1</v>
      </c>
      <c r="L12">
        <v>1</v>
      </c>
      <c r="M12">
        <v>16</v>
      </c>
      <c r="N12">
        <v>16</v>
      </c>
      <c r="O12">
        <v>10</v>
      </c>
      <c r="P12">
        <v>7</v>
      </c>
      <c r="Q12">
        <v>24</v>
      </c>
      <c r="R12">
        <v>50</v>
      </c>
      <c r="S12">
        <v>12</v>
      </c>
      <c r="T12">
        <v>24</v>
      </c>
      <c r="U12">
        <v>10</v>
      </c>
      <c r="V12">
        <v>6</v>
      </c>
      <c r="W12">
        <v>1</v>
      </c>
      <c r="X12">
        <v>50</v>
      </c>
      <c r="Y12">
        <v>0</v>
      </c>
      <c r="Z12">
        <v>15</v>
      </c>
      <c r="AA12">
        <v>20</v>
      </c>
      <c r="AB12">
        <v>29</v>
      </c>
      <c r="AC12">
        <v>79</v>
      </c>
      <c r="AD12">
        <v>49</v>
      </c>
      <c r="AE12">
        <v>29</v>
      </c>
      <c r="AF12">
        <v>99</v>
      </c>
      <c r="AG12">
        <v>89</v>
      </c>
      <c r="AH12">
        <v>49</v>
      </c>
      <c r="AI12">
        <v>19</v>
      </c>
      <c r="AJ12">
        <v>2</v>
      </c>
      <c r="AK12">
        <v>14</v>
      </c>
      <c r="AL12">
        <v>-1</v>
      </c>
      <c r="AM12">
        <v>-1</v>
      </c>
      <c r="AN12">
        <v>0</v>
      </c>
      <c r="AO12">
        <v>0</v>
      </c>
      <c r="AP12">
        <v>0</v>
      </c>
      <c r="AQ12">
        <v>0</v>
      </c>
      <c r="AR12">
        <f t="shared" si="9"/>
        <v>0</v>
      </c>
      <c r="AS12">
        <f>IF(AND(IFERROR(VLOOKUP(AJ12,Equip!$A:$N,13,FALSE),0)&gt;=5,IFERROR(VLOOKUP(AJ12,Equip!$A:$N,13,FALSE),0)&lt;=9),INT(VLOOKUP(AJ12,Equip!$A:$N,6,FALSE)*SQRT(AN12)),0)</f>
        <v>0</v>
      </c>
      <c r="AT12">
        <f>IF(AND(IFERROR(VLOOKUP(AK12,Equip!$A:$N,13,FALSE),0)&gt;=5,IFERROR(VLOOKUP(AK12,Equip!$A:$N,13,FALSE),0)&lt;=9),INT(VLOOKUP(AK12,Equip!$A:$N,6,FALSE)*SQRT(AO12)),0)</f>
        <v>0</v>
      </c>
      <c r="AU12">
        <f>IF(AND(IFERROR(VLOOKUP(AL12,Equip!$A:$N,13,FALSE),0)&gt;=5,IFERROR(VLOOKUP(AL12,Equip!$A:$N,13,FALSE),0)&lt;=9),INT(VLOOKUP(AL12,Equip!$A:$N,6,FALSE)*SQRT(AP12)),0)</f>
        <v>0</v>
      </c>
      <c r="AV12">
        <f>IF(AND(IFERROR(VLOOKUP(AM12,Equip!$A:$N,13,FALSE),0)&gt;=5,IFERROR(VLOOKUP(AM12,Equip!$A:$N,13,FALSE),0)&lt;=9),INT(VLOOKUP(AM12,Equip!$A:$N,6,FALSE)*SQRT(AQ12)),0)</f>
        <v>0</v>
      </c>
      <c r="AW12">
        <f t="shared" si="2"/>
        <v>0</v>
      </c>
      <c r="AX12">
        <f t="shared" si="3"/>
        <v>359</v>
      </c>
    </row>
    <row r="13" spans="1:51">
      <c r="A13">
        <v>5</v>
      </c>
      <c r="B13" t="s">
        <v>739</v>
      </c>
      <c r="C13" t="s">
        <v>739</v>
      </c>
      <c r="D13">
        <v>1</v>
      </c>
      <c r="E13">
        <f>E12</f>
        <v>1320</v>
      </c>
      <c r="F13">
        <f t="shared" ref="F13" si="25">F12</f>
        <v>760</v>
      </c>
      <c r="G13">
        <f t="shared" ref="G13" si="26">G12</f>
        <v>5</v>
      </c>
      <c r="H13">
        <f t="shared" ref="H13" si="27">H12</f>
        <v>0</v>
      </c>
      <c r="I13">
        <f t="shared" ref="I13" si="28">I12</f>
        <v>1</v>
      </c>
      <c r="J13">
        <f t="shared" ref="J13" si="29">J12</f>
        <v>3</v>
      </c>
      <c r="K13">
        <v>1</v>
      </c>
      <c r="L13">
        <v>1</v>
      </c>
      <c r="M13">
        <v>32</v>
      </c>
      <c r="N13">
        <v>32</v>
      </c>
      <c r="O13">
        <v>16</v>
      </c>
      <c r="P13">
        <v>18</v>
      </c>
      <c r="Q13">
        <v>33</v>
      </c>
      <c r="R13">
        <v>73</v>
      </c>
      <c r="S13">
        <v>23</v>
      </c>
      <c r="T13">
        <v>33</v>
      </c>
      <c r="U13">
        <f t="shared" si="1"/>
        <v>10</v>
      </c>
      <c r="V13">
        <v>14</v>
      </c>
      <c r="W13">
        <f t="shared" si="1"/>
        <v>1</v>
      </c>
      <c r="X13">
        <v>60</v>
      </c>
      <c r="Y13">
        <f t="shared" si="1"/>
        <v>0</v>
      </c>
      <c r="Z13">
        <v>15</v>
      </c>
      <c r="AA13">
        <v>20</v>
      </c>
      <c r="AB13">
        <v>59</v>
      </c>
      <c r="AC13">
        <v>89</v>
      </c>
      <c r="AD13">
        <v>59</v>
      </c>
      <c r="AE13">
        <v>59</v>
      </c>
      <c r="AF13">
        <v>99</v>
      </c>
      <c r="AG13">
        <v>99</v>
      </c>
      <c r="AH13">
        <v>59</v>
      </c>
      <c r="AI13">
        <v>39</v>
      </c>
      <c r="AJ13">
        <v>3</v>
      </c>
      <c r="AK13">
        <v>15</v>
      </c>
      <c r="AL13">
        <v>0</v>
      </c>
      <c r="AM13">
        <v>-1</v>
      </c>
      <c r="AN13">
        <v>0</v>
      </c>
      <c r="AO13">
        <v>0</v>
      </c>
      <c r="AP13">
        <v>0</v>
      </c>
      <c r="AQ13">
        <v>0</v>
      </c>
      <c r="AR13">
        <f t="shared" si="9"/>
        <v>0</v>
      </c>
      <c r="AS13">
        <f>IF(AND(IFERROR(VLOOKUP(AJ13,Equip!$A:$N,13,FALSE),0)&gt;=5,IFERROR(VLOOKUP(AJ13,Equip!$A:$N,13,FALSE),0)&lt;=9),INT(VLOOKUP(AJ13,Equip!$A:$N,6,FALSE)*SQRT(AN13)),0)</f>
        <v>0</v>
      </c>
      <c r="AT13">
        <f>IF(AND(IFERROR(VLOOKUP(AK13,Equip!$A:$N,13,FALSE),0)&gt;=5,IFERROR(VLOOKUP(AK13,Equip!$A:$N,13,FALSE),0)&lt;=9),INT(VLOOKUP(AK13,Equip!$A:$N,6,FALSE)*SQRT(AO13)),0)</f>
        <v>0</v>
      </c>
      <c r="AU13">
        <f>IF(AND(IFERROR(VLOOKUP(AL13,Equip!$A:$N,13,FALSE),0)&gt;=5,IFERROR(VLOOKUP(AL13,Equip!$A:$N,13,FALSE),0)&lt;=9),INT(VLOOKUP(AL13,Equip!$A:$N,6,FALSE)*SQRT(AP13)),0)</f>
        <v>0</v>
      </c>
      <c r="AV13">
        <f>IF(AND(IFERROR(VLOOKUP(AM13,Equip!$A:$N,13,FALSE),0)&gt;=5,IFERROR(VLOOKUP(AM13,Equip!$A:$N,13,FALSE),0)&lt;=9),INT(VLOOKUP(AM13,Equip!$A:$N,6,FALSE)*SQRT(AQ13)),0)</f>
        <v>0</v>
      </c>
      <c r="AW13">
        <f t="shared" si="2"/>
        <v>0</v>
      </c>
      <c r="AX13">
        <f t="shared" si="3"/>
        <v>495</v>
      </c>
    </row>
    <row r="14" spans="1:51">
      <c r="A14">
        <v>6</v>
      </c>
      <c r="B14" t="s">
        <v>740</v>
      </c>
      <c r="C14" t="s">
        <v>740</v>
      </c>
      <c r="D14">
        <v>0</v>
      </c>
      <c r="E14">
        <v>2525</v>
      </c>
      <c r="F14">
        <v>1362</v>
      </c>
      <c r="G14">
        <v>6</v>
      </c>
      <c r="H14">
        <v>2</v>
      </c>
      <c r="I14">
        <v>1</v>
      </c>
      <c r="J14">
        <v>0</v>
      </c>
      <c r="K14">
        <v>12</v>
      </c>
      <c r="L14">
        <v>4</v>
      </c>
      <c r="M14">
        <v>69</v>
      </c>
      <c r="N14">
        <v>69</v>
      </c>
      <c r="O14">
        <v>0</v>
      </c>
      <c r="P14">
        <v>28</v>
      </c>
      <c r="Q14">
        <v>0</v>
      </c>
      <c r="R14">
        <v>28</v>
      </c>
      <c r="S14">
        <v>32</v>
      </c>
      <c r="T14">
        <v>0</v>
      </c>
      <c r="U14">
        <v>10</v>
      </c>
      <c r="V14">
        <v>44</v>
      </c>
      <c r="W14">
        <v>1</v>
      </c>
      <c r="X14">
        <v>12</v>
      </c>
      <c r="Y14">
        <v>0</v>
      </c>
      <c r="Z14">
        <v>60</v>
      </c>
      <c r="AA14">
        <v>55</v>
      </c>
      <c r="AB14">
        <v>39</v>
      </c>
      <c r="AC14">
        <v>0</v>
      </c>
      <c r="AD14">
        <v>69</v>
      </c>
      <c r="AE14">
        <v>54</v>
      </c>
      <c r="AF14">
        <v>49</v>
      </c>
      <c r="AG14">
        <v>49</v>
      </c>
      <c r="AH14">
        <v>0</v>
      </c>
      <c r="AI14">
        <v>69</v>
      </c>
      <c r="AJ14">
        <v>20</v>
      </c>
      <c r="AK14">
        <v>23</v>
      </c>
      <c r="AL14">
        <v>16</v>
      </c>
      <c r="AM14">
        <v>0</v>
      </c>
      <c r="AN14">
        <v>18</v>
      </c>
      <c r="AO14">
        <v>18</v>
      </c>
      <c r="AP14">
        <v>27</v>
      </c>
      <c r="AQ14">
        <v>10</v>
      </c>
      <c r="AR14">
        <f t="shared" si="9"/>
        <v>73</v>
      </c>
      <c r="AS14">
        <f>IF(AND(IFERROR(VLOOKUP(AJ14,Equip!$A:$N,13,FALSE),0)&gt;=5,IFERROR(VLOOKUP(AJ14,Equip!$A:$N,13,FALSE),0)&lt;=9),INT(VLOOKUP(AJ14,Equip!$A:$N,6,FALSE)*SQRT(AN14)),0)</f>
        <v>0</v>
      </c>
      <c r="AT14">
        <f>IF(AND(IFERROR(VLOOKUP(AK14,Equip!$A:$N,13,FALSE),0)&gt;=5,IFERROR(VLOOKUP(AK14,Equip!$A:$N,13,FALSE),0)&lt;=9),INT(VLOOKUP(AK14,Equip!$A:$N,6,FALSE)*SQRT(AO14)),0)</f>
        <v>0</v>
      </c>
      <c r="AU14">
        <f>IF(AND(IFERROR(VLOOKUP(AL14,Equip!$A:$N,13,FALSE),0)&gt;=5,IFERROR(VLOOKUP(AL14,Equip!$A:$N,13,FALSE),0)&lt;=9),INT(VLOOKUP(AL14,Equip!$A:$N,6,FALSE)*SQRT(AP14)),0)</f>
        <v>0</v>
      </c>
      <c r="AV14">
        <f>IF(AND(IFERROR(VLOOKUP(AM14,Equip!$A:$N,13,FALSE),0)&gt;=5,IFERROR(VLOOKUP(AM14,Equip!$A:$N,13,FALSE),0)&lt;=9),INT(VLOOKUP(AM14,Equip!$A:$N,6,FALSE)*SQRT(AQ14)),0)</f>
        <v>0</v>
      </c>
      <c r="AW14">
        <f t="shared" si="2"/>
        <v>0</v>
      </c>
      <c r="AX14">
        <f t="shared" si="3"/>
        <v>349</v>
      </c>
    </row>
    <row r="15" spans="1:51">
      <c r="A15">
        <v>6</v>
      </c>
      <c r="B15" t="s">
        <v>740</v>
      </c>
      <c r="C15" t="s">
        <v>740</v>
      </c>
      <c r="D15">
        <v>1</v>
      </c>
      <c r="E15">
        <f>E14</f>
        <v>2525</v>
      </c>
      <c r="F15">
        <f t="shared" ref="F15" si="30">F14</f>
        <v>1362</v>
      </c>
      <c r="G15">
        <f t="shared" ref="G15" si="31">G14</f>
        <v>6</v>
      </c>
      <c r="H15">
        <f t="shared" ref="H15" si="32">H14</f>
        <v>2</v>
      </c>
      <c r="I15">
        <f t="shared" ref="I15" si="33">I14</f>
        <v>1</v>
      </c>
      <c r="J15">
        <f t="shared" ref="J15" si="34">J14</f>
        <v>0</v>
      </c>
      <c r="K15">
        <v>12</v>
      </c>
      <c r="L15">
        <v>4</v>
      </c>
      <c r="M15">
        <v>77</v>
      </c>
      <c r="N15">
        <v>77</v>
      </c>
      <c r="O15">
        <v>6</v>
      </c>
      <c r="P15">
        <v>45</v>
      </c>
      <c r="Q15">
        <v>0</v>
      </c>
      <c r="R15">
        <v>40</v>
      </c>
      <c r="S15">
        <v>41</v>
      </c>
      <c r="T15">
        <v>0</v>
      </c>
      <c r="U15">
        <f t="shared" si="1"/>
        <v>10</v>
      </c>
      <c r="V15">
        <v>61</v>
      </c>
      <c r="W15">
        <f t="shared" si="1"/>
        <v>1</v>
      </c>
      <c r="X15">
        <v>12</v>
      </c>
      <c r="Y15">
        <f t="shared" si="1"/>
        <v>0</v>
      </c>
      <c r="Z15">
        <v>75</v>
      </c>
      <c r="AA15">
        <v>75</v>
      </c>
      <c r="AB15">
        <v>54</v>
      </c>
      <c r="AC15">
        <v>0</v>
      </c>
      <c r="AD15">
        <v>79</v>
      </c>
      <c r="AE15">
        <v>79</v>
      </c>
      <c r="AF15">
        <v>59</v>
      </c>
      <c r="AG15">
        <v>69</v>
      </c>
      <c r="AH15">
        <v>0</v>
      </c>
      <c r="AI15">
        <v>89</v>
      </c>
      <c r="AJ15">
        <v>21</v>
      </c>
      <c r="AK15">
        <v>24</v>
      </c>
      <c r="AL15">
        <v>16</v>
      </c>
      <c r="AM15">
        <v>0</v>
      </c>
      <c r="AN15">
        <v>20</v>
      </c>
      <c r="AO15">
        <v>20</v>
      </c>
      <c r="AP15">
        <v>32</v>
      </c>
      <c r="AQ15">
        <v>10</v>
      </c>
      <c r="AR15">
        <f t="shared" si="9"/>
        <v>82</v>
      </c>
      <c r="AS15">
        <f>IF(AND(IFERROR(VLOOKUP(AJ15,Equip!$A:$N,13,FALSE),0)&gt;=5,IFERROR(VLOOKUP(AJ15,Equip!$A:$N,13,FALSE),0)&lt;=9),INT(VLOOKUP(AJ15,Equip!$A:$N,6,FALSE)*SQRT(AN15)),0)</f>
        <v>0</v>
      </c>
      <c r="AT15">
        <f>IF(AND(IFERROR(VLOOKUP(AK15,Equip!$A:$N,13,FALSE),0)&gt;=5,IFERROR(VLOOKUP(AK15,Equip!$A:$N,13,FALSE),0)&lt;=9),INT(VLOOKUP(AK15,Equip!$A:$N,6,FALSE)*SQRT(AO15)),0)</f>
        <v>0</v>
      </c>
      <c r="AU15">
        <f>IF(AND(IFERROR(VLOOKUP(AL15,Equip!$A:$N,13,FALSE),0)&gt;=5,IFERROR(VLOOKUP(AL15,Equip!$A:$N,13,FALSE),0)&lt;=9),INT(VLOOKUP(AL15,Equip!$A:$N,6,FALSE)*SQRT(AP15)),0)</f>
        <v>0</v>
      </c>
      <c r="AV15">
        <f>IF(AND(IFERROR(VLOOKUP(AM15,Equip!$A:$N,13,FALSE),0)&gt;=5,IFERROR(VLOOKUP(AM15,Equip!$A:$N,13,FALSE),0)&lt;=9),INT(VLOOKUP(AM15,Equip!$A:$N,6,FALSE)*SQRT(AQ15)),0)</f>
        <v>0</v>
      </c>
      <c r="AW15">
        <f t="shared" si="2"/>
        <v>0</v>
      </c>
      <c r="AX15">
        <f t="shared" si="3"/>
        <v>447</v>
      </c>
    </row>
    <row r="16" spans="1:51">
      <c r="A16">
        <v>7</v>
      </c>
      <c r="B16" t="s">
        <v>741</v>
      </c>
      <c r="C16" t="s">
        <v>741</v>
      </c>
      <c r="D16">
        <v>0</v>
      </c>
      <c r="E16">
        <v>2559</v>
      </c>
      <c r="F16">
        <v>1379</v>
      </c>
      <c r="G16">
        <v>7</v>
      </c>
      <c r="H16">
        <v>3</v>
      </c>
      <c r="I16">
        <v>1</v>
      </c>
      <c r="J16">
        <v>5</v>
      </c>
      <c r="K16">
        <v>12</v>
      </c>
      <c r="L16">
        <v>4</v>
      </c>
      <c r="M16">
        <v>71</v>
      </c>
      <c r="N16">
        <v>71</v>
      </c>
      <c r="O16">
        <v>0</v>
      </c>
      <c r="P16">
        <v>29</v>
      </c>
      <c r="Q16">
        <v>0</v>
      </c>
      <c r="R16">
        <v>27</v>
      </c>
      <c r="S16">
        <v>28</v>
      </c>
      <c r="T16">
        <v>0</v>
      </c>
      <c r="U16">
        <v>10</v>
      </c>
      <c r="V16">
        <v>40</v>
      </c>
      <c r="W16">
        <v>1</v>
      </c>
      <c r="X16">
        <v>10</v>
      </c>
      <c r="Y16">
        <v>0</v>
      </c>
      <c r="Z16">
        <v>60</v>
      </c>
      <c r="AA16">
        <v>55</v>
      </c>
      <c r="AB16">
        <v>39</v>
      </c>
      <c r="AC16">
        <v>0</v>
      </c>
      <c r="AD16">
        <v>69</v>
      </c>
      <c r="AE16">
        <v>59</v>
      </c>
      <c r="AF16">
        <v>49</v>
      </c>
      <c r="AG16">
        <v>49</v>
      </c>
      <c r="AH16">
        <v>0</v>
      </c>
      <c r="AI16">
        <v>69</v>
      </c>
      <c r="AJ16">
        <v>20</v>
      </c>
      <c r="AK16">
        <v>23</v>
      </c>
      <c r="AL16">
        <v>16</v>
      </c>
      <c r="AM16">
        <v>0</v>
      </c>
      <c r="AN16">
        <v>18</v>
      </c>
      <c r="AO16">
        <v>18</v>
      </c>
      <c r="AP16">
        <v>45</v>
      </c>
      <c r="AQ16">
        <v>12</v>
      </c>
      <c r="AR16">
        <f t="shared" si="9"/>
        <v>93</v>
      </c>
      <c r="AS16">
        <f>IF(AND(IFERROR(VLOOKUP(AJ16,Equip!$A:$N,13,FALSE),0)&gt;=5,IFERROR(VLOOKUP(AJ16,Equip!$A:$N,13,FALSE),0)&lt;=9),INT(VLOOKUP(AJ16,Equip!$A:$N,6,FALSE)*SQRT(AN16)),0)</f>
        <v>0</v>
      </c>
      <c r="AT16">
        <f>IF(AND(IFERROR(VLOOKUP(AK16,Equip!$A:$N,13,FALSE),0)&gt;=5,IFERROR(VLOOKUP(AK16,Equip!$A:$N,13,FALSE),0)&lt;=9),INT(VLOOKUP(AK16,Equip!$A:$N,6,FALSE)*SQRT(AO16)),0)</f>
        <v>0</v>
      </c>
      <c r="AU16">
        <f>IF(AND(IFERROR(VLOOKUP(AL16,Equip!$A:$N,13,FALSE),0)&gt;=5,IFERROR(VLOOKUP(AL16,Equip!$A:$N,13,FALSE),0)&lt;=9),INT(VLOOKUP(AL16,Equip!$A:$N,6,FALSE)*SQRT(AP16)),0)</f>
        <v>0</v>
      </c>
      <c r="AV16">
        <f>IF(AND(IFERROR(VLOOKUP(AM16,Equip!$A:$N,13,FALSE),0)&gt;=5,IFERROR(VLOOKUP(AM16,Equip!$A:$N,13,FALSE),0)&lt;=9),INT(VLOOKUP(AM16,Equip!$A:$N,6,FALSE)*SQRT(AQ16)),0)</f>
        <v>0</v>
      </c>
      <c r="AW16">
        <f t="shared" si="2"/>
        <v>0</v>
      </c>
      <c r="AX16">
        <f t="shared" si="3"/>
        <v>356</v>
      </c>
    </row>
    <row r="17" spans="1:50">
      <c r="A17">
        <v>7</v>
      </c>
      <c r="B17" t="s">
        <v>741</v>
      </c>
      <c r="C17" t="s">
        <v>741</v>
      </c>
      <c r="D17">
        <v>1</v>
      </c>
      <c r="E17">
        <f>E16</f>
        <v>2559</v>
      </c>
      <c r="F17">
        <f t="shared" ref="F17" si="35">F16</f>
        <v>1379</v>
      </c>
      <c r="G17">
        <f t="shared" ref="G17" si="36">G16</f>
        <v>7</v>
      </c>
      <c r="H17">
        <f t="shared" ref="H17" si="37">H16</f>
        <v>3</v>
      </c>
      <c r="I17">
        <f t="shared" ref="I17" si="38">I16</f>
        <v>1</v>
      </c>
      <c r="J17">
        <f t="shared" ref="J17" si="39">J16</f>
        <v>5</v>
      </c>
      <c r="K17">
        <v>12</v>
      </c>
      <c r="L17">
        <v>4</v>
      </c>
      <c r="M17">
        <v>79</v>
      </c>
      <c r="N17">
        <v>79</v>
      </c>
      <c r="O17">
        <v>6</v>
      </c>
      <c r="P17">
        <v>50</v>
      </c>
      <c r="Q17">
        <v>0</v>
      </c>
      <c r="R17">
        <v>39</v>
      </c>
      <c r="S17">
        <v>42</v>
      </c>
      <c r="T17">
        <v>0</v>
      </c>
      <c r="U17">
        <f t="shared" si="1"/>
        <v>10</v>
      </c>
      <c r="V17">
        <v>61</v>
      </c>
      <c r="W17">
        <f t="shared" si="1"/>
        <v>1</v>
      </c>
      <c r="X17">
        <v>12</v>
      </c>
      <c r="Y17">
        <f t="shared" si="1"/>
        <v>0</v>
      </c>
      <c r="Z17">
        <v>80</v>
      </c>
      <c r="AA17">
        <v>80</v>
      </c>
      <c r="AB17">
        <v>49</v>
      </c>
      <c r="AC17">
        <v>0</v>
      </c>
      <c r="AD17">
        <v>79</v>
      </c>
      <c r="AE17">
        <v>79</v>
      </c>
      <c r="AF17">
        <v>59</v>
      </c>
      <c r="AG17">
        <v>69</v>
      </c>
      <c r="AH17">
        <v>0</v>
      </c>
      <c r="AI17">
        <v>89</v>
      </c>
      <c r="AJ17">
        <v>21</v>
      </c>
      <c r="AK17">
        <v>24</v>
      </c>
      <c r="AL17">
        <v>16</v>
      </c>
      <c r="AM17">
        <v>0</v>
      </c>
      <c r="AN17">
        <v>20</v>
      </c>
      <c r="AO17">
        <v>20</v>
      </c>
      <c r="AP17">
        <v>46</v>
      </c>
      <c r="AQ17">
        <v>12</v>
      </c>
      <c r="AR17">
        <f t="shared" si="9"/>
        <v>98</v>
      </c>
      <c r="AS17">
        <f>IF(AND(IFERROR(VLOOKUP(AJ17,Equip!$A:$N,13,FALSE),0)&gt;=5,IFERROR(VLOOKUP(AJ17,Equip!$A:$N,13,FALSE),0)&lt;=9),INT(VLOOKUP(AJ17,Equip!$A:$N,6,FALSE)*SQRT(AN17)),0)</f>
        <v>0</v>
      </c>
      <c r="AT17">
        <f>IF(AND(IFERROR(VLOOKUP(AK17,Equip!$A:$N,13,FALSE),0)&gt;=5,IFERROR(VLOOKUP(AK17,Equip!$A:$N,13,FALSE),0)&lt;=9),INT(VLOOKUP(AK17,Equip!$A:$N,6,FALSE)*SQRT(AO17)),0)</f>
        <v>0</v>
      </c>
      <c r="AU17">
        <f>IF(AND(IFERROR(VLOOKUP(AL17,Equip!$A:$N,13,FALSE),0)&gt;=5,IFERROR(VLOOKUP(AL17,Equip!$A:$N,13,FALSE),0)&lt;=9),INT(VLOOKUP(AL17,Equip!$A:$N,6,FALSE)*SQRT(AP17)),0)</f>
        <v>0</v>
      </c>
      <c r="AV17">
        <f>IF(AND(IFERROR(VLOOKUP(AM17,Equip!$A:$N,13,FALSE),0)&gt;=5,IFERROR(VLOOKUP(AM17,Equip!$A:$N,13,FALSE),0)&lt;=9),INT(VLOOKUP(AM17,Equip!$A:$N,6,FALSE)*SQRT(AQ17)),0)</f>
        <v>0</v>
      </c>
      <c r="AW17">
        <f t="shared" si="2"/>
        <v>0</v>
      </c>
      <c r="AX17">
        <f t="shared" si="3"/>
        <v>444</v>
      </c>
    </row>
    <row r="18" spans="1:50">
      <c r="A18">
        <v>8</v>
      </c>
      <c r="B18" t="s">
        <v>742</v>
      </c>
      <c r="C18" t="s">
        <v>742</v>
      </c>
      <c r="D18">
        <v>0</v>
      </c>
      <c r="E18">
        <v>2179</v>
      </c>
      <c r="F18">
        <v>1189</v>
      </c>
      <c r="G18">
        <v>8</v>
      </c>
      <c r="H18">
        <v>2</v>
      </c>
      <c r="I18">
        <v>1</v>
      </c>
      <c r="J18">
        <v>0</v>
      </c>
      <c r="K18">
        <v>12</v>
      </c>
      <c r="L18">
        <v>4</v>
      </c>
      <c r="M18">
        <v>50</v>
      </c>
      <c r="N18">
        <v>50</v>
      </c>
      <c r="O18">
        <v>0</v>
      </c>
      <c r="P18">
        <v>27</v>
      </c>
      <c r="Q18">
        <v>0</v>
      </c>
      <c r="R18">
        <v>33</v>
      </c>
      <c r="S18">
        <v>26</v>
      </c>
      <c r="T18">
        <v>0</v>
      </c>
      <c r="U18">
        <v>10</v>
      </c>
      <c r="V18">
        <v>42</v>
      </c>
      <c r="W18">
        <v>1</v>
      </c>
      <c r="X18">
        <v>10</v>
      </c>
      <c r="Y18">
        <v>0</v>
      </c>
      <c r="Z18">
        <v>50</v>
      </c>
      <c r="AA18">
        <v>50</v>
      </c>
      <c r="AB18">
        <v>29</v>
      </c>
      <c r="AC18">
        <v>0</v>
      </c>
      <c r="AD18">
        <v>69</v>
      </c>
      <c r="AE18">
        <v>49</v>
      </c>
      <c r="AF18">
        <v>49</v>
      </c>
      <c r="AG18">
        <v>59</v>
      </c>
      <c r="AH18">
        <v>0</v>
      </c>
      <c r="AI18">
        <v>69</v>
      </c>
      <c r="AJ18">
        <v>20</v>
      </c>
      <c r="AK18">
        <v>23</v>
      </c>
      <c r="AL18">
        <v>16</v>
      </c>
      <c r="AM18">
        <v>0</v>
      </c>
      <c r="AN18">
        <v>12</v>
      </c>
      <c r="AO18">
        <v>27</v>
      </c>
      <c r="AP18">
        <v>18</v>
      </c>
      <c r="AQ18">
        <v>7</v>
      </c>
      <c r="AR18">
        <f t="shared" si="9"/>
        <v>64</v>
      </c>
      <c r="AS18">
        <f>IF(AND(IFERROR(VLOOKUP(AJ18,Equip!$A:$N,13,FALSE),0)&gt;=5,IFERROR(VLOOKUP(AJ18,Equip!$A:$N,13,FALSE),0)&lt;=9),INT(VLOOKUP(AJ18,Equip!$A:$N,6,FALSE)*SQRT(AN18)),0)</f>
        <v>0</v>
      </c>
      <c r="AT18">
        <f>IF(AND(IFERROR(VLOOKUP(AK18,Equip!$A:$N,13,FALSE),0)&gt;=5,IFERROR(VLOOKUP(AK18,Equip!$A:$N,13,FALSE),0)&lt;=9),INT(VLOOKUP(AK18,Equip!$A:$N,6,FALSE)*SQRT(AO18)),0)</f>
        <v>0</v>
      </c>
      <c r="AU18">
        <f>IF(AND(IFERROR(VLOOKUP(AL18,Equip!$A:$N,13,FALSE),0)&gt;=5,IFERROR(VLOOKUP(AL18,Equip!$A:$N,13,FALSE),0)&lt;=9),INT(VLOOKUP(AL18,Equip!$A:$N,6,FALSE)*SQRT(AP18)),0)</f>
        <v>0</v>
      </c>
      <c r="AV18">
        <f>IF(AND(IFERROR(VLOOKUP(AM18,Equip!$A:$N,13,FALSE),0)&gt;=5,IFERROR(VLOOKUP(AM18,Equip!$A:$N,13,FALSE),0)&lt;=9),INT(VLOOKUP(AM18,Equip!$A:$N,6,FALSE)*SQRT(AQ18)),0)</f>
        <v>0</v>
      </c>
      <c r="AW18">
        <f t="shared" si="2"/>
        <v>0</v>
      </c>
      <c r="AX18">
        <f t="shared" si="3"/>
        <v>325</v>
      </c>
    </row>
    <row r="19" spans="1:50">
      <c r="A19">
        <v>8</v>
      </c>
      <c r="B19" t="s">
        <v>742</v>
      </c>
      <c r="C19" t="s">
        <v>742</v>
      </c>
      <c r="D19">
        <v>1</v>
      </c>
      <c r="E19">
        <f t="shared" ref="E19:E20" si="40">E18</f>
        <v>2179</v>
      </c>
      <c r="F19">
        <f t="shared" ref="F19:F20" si="41">F18</f>
        <v>1189</v>
      </c>
      <c r="G19">
        <f t="shared" ref="G19:G20" si="42">G18</f>
        <v>8</v>
      </c>
      <c r="H19">
        <f t="shared" ref="H19:H20" si="43">H18</f>
        <v>2</v>
      </c>
      <c r="I19">
        <f t="shared" ref="I19:I20" si="44">I18</f>
        <v>1</v>
      </c>
      <c r="J19">
        <f t="shared" ref="J19:J20" si="45">J18</f>
        <v>0</v>
      </c>
      <c r="K19">
        <v>12</v>
      </c>
      <c r="L19">
        <v>4</v>
      </c>
      <c r="M19">
        <v>65</v>
      </c>
      <c r="N19">
        <v>65</v>
      </c>
      <c r="O19">
        <v>10</v>
      </c>
      <c r="P19">
        <v>40</v>
      </c>
      <c r="Q19">
        <v>0</v>
      </c>
      <c r="R19">
        <v>43</v>
      </c>
      <c r="S19">
        <v>42</v>
      </c>
      <c r="T19">
        <v>0</v>
      </c>
      <c r="U19">
        <f t="shared" si="1"/>
        <v>10</v>
      </c>
      <c r="V19">
        <v>59</v>
      </c>
      <c r="W19">
        <f t="shared" si="1"/>
        <v>1</v>
      </c>
      <c r="X19">
        <v>12</v>
      </c>
      <c r="Y19">
        <f t="shared" si="1"/>
        <v>0</v>
      </c>
      <c r="Z19">
        <v>65</v>
      </c>
      <c r="AA19">
        <v>65</v>
      </c>
      <c r="AB19">
        <v>39</v>
      </c>
      <c r="AC19">
        <v>0</v>
      </c>
      <c r="AD19">
        <v>79</v>
      </c>
      <c r="AE19">
        <v>69</v>
      </c>
      <c r="AF19">
        <v>59</v>
      </c>
      <c r="AG19">
        <v>69</v>
      </c>
      <c r="AH19">
        <v>0</v>
      </c>
      <c r="AI19">
        <v>89</v>
      </c>
      <c r="AJ19">
        <v>21</v>
      </c>
      <c r="AK19">
        <v>24</v>
      </c>
      <c r="AL19">
        <v>16</v>
      </c>
      <c r="AM19">
        <v>0</v>
      </c>
      <c r="AN19">
        <v>18</v>
      </c>
      <c r="AO19">
        <v>27</v>
      </c>
      <c r="AP19">
        <v>18</v>
      </c>
      <c r="AQ19">
        <v>10</v>
      </c>
      <c r="AR19">
        <f t="shared" si="9"/>
        <v>73</v>
      </c>
      <c r="AS19">
        <f>IF(AND(IFERROR(VLOOKUP(AJ19,Equip!$A:$N,13,FALSE),0)&gt;=5,IFERROR(VLOOKUP(AJ19,Equip!$A:$N,13,FALSE),0)&lt;=9),INT(VLOOKUP(AJ19,Equip!$A:$N,6,FALSE)*SQRT(AN19)),0)</f>
        <v>0</v>
      </c>
      <c r="AT19">
        <f>IF(AND(IFERROR(VLOOKUP(AK19,Equip!$A:$N,13,FALSE),0)&gt;=5,IFERROR(VLOOKUP(AK19,Equip!$A:$N,13,FALSE),0)&lt;=9),INT(VLOOKUP(AK19,Equip!$A:$N,6,FALSE)*SQRT(AO19)),0)</f>
        <v>0</v>
      </c>
      <c r="AU19">
        <f>IF(AND(IFERROR(VLOOKUP(AL19,Equip!$A:$N,13,FALSE),0)&gt;=5,IFERROR(VLOOKUP(AL19,Equip!$A:$N,13,FALSE),0)&lt;=9),INT(VLOOKUP(AL19,Equip!$A:$N,6,FALSE)*SQRT(AP19)),0)</f>
        <v>0</v>
      </c>
      <c r="AV19">
        <f>IF(AND(IFERROR(VLOOKUP(AM19,Equip!$A:$N,13,FALSE),0)&gt;=5,IFERROR(VLOOKUP(AM19,Equip!$A:$N,13,FALSE),0)&lt;=9),INT(VLOOKUP(AM19,Equip!$A:$N,6,FALSE)*SQRT(AQ19)),0)</f>
        <v>0</v>
      </c>
      <c r="AW19">
        <f t="shared" si="2"/>
        <v>0</v>
      </c>
      <c r="AX19">
        <f t="shared" si="3"/>
        <v>410</v>
      </c>
    </row>
    <row r="20" spans="1:50">
      <c r="A20">
        <v>8</v>
      </c>
      <c r="B20" t="s">
        <v>742</v>
      </c>
      <c r="C20" t="s">
        <v>742</v>
      </c>
      <c r="D20">
        <v>2</v>
      </c>
      <c r="E20">
        <f t="shared" si="40"/>
        <v>2179</v>
      </c>
      <c r="F20">
        <f t="shared" si="41"/>
        <v>1189</v>
      </c>
      <c r="G20">
        <f t="shared" si="42"/>
        <v>8</v>
      </c>
      <c r="H20">
        <f t="shared" si="43"/>
        <v>2</v>
      </c>
      <c r="I20">
        <f t="shared" si="44"/>
        <v>1</v>
      </c>
      <c r="J20">
        <f t="shared" si="45"/>
        <v>0</v>
      </c>
      <c r="K20">
        <v>12</v>
      </c>
      <c r="L20">
        <v>4</v>
      </c>
      <c r="M20">
        <v>67</v>
      </c>
      <c r="N20">
        <v>67</v>
      </c>
      <c r="O20">
        <v>38</v>
      </c>
      <c r="P20">
        <v>49</v>
      </c>
      <c r="Q20">
        <v>0</v>
      </c>
      <c r="R20">
        <v>65</v>
      </c>
      <c r="S20">
        <v>51</v>
      </c>
      <c r="T20">
        <v>0</v>
      </c>
      <c r="U20">
        <f t="shared" si="1"/>
        <v>10</v>
      </c>
      <c r="V20">
        <v>82</v>
      </c>
      <c r="W20">
        <f t="shared" si="1"/>
        <v>1</v>
      </c>
      <c r="X20">
        <v>15</v>
      </c>
      <c r="Y20">
        <f t="shared" si="1"/>
        <v>0</v>
      </c>
      <c r="Z20">
        <v>70</v>
      </c>
      <c r="AA20">
        <v>75</v>
      </c>
      <c r="AB20">
        <v>57</v>
      </c>
      <c r="AC20">
        <v>0</v>
      </c>
      <c r="AD20">
        <v>84</v>
      </c>
      <c r="AE20">
        <v>75</v>
      </c>
      <c r="AF20">
        <v>59</v>
      </c>
      <c r="AG20">
        <v>74</v>
      </c>
      <c r="AH20">
        <v>0</v>
      </c>
      <c r="AI20">
        <v>90</v>
      </c>
      <c r="AJ20">
        <v>96</v>
      </c>
      <c r="AK20">
        <v>99</v>
      </c>
      <c r="AL20">
        <v>98</v>
      </c>
      <c r="AM20">
        <v>61</v>
      </c>
      <c r="AN20">
        <v>18</v>
      </c>
      <c r="AO20">
        <v>35</v>
      </c>
      <c r="AP20">
        <v>20</v>
      </c>
      <c r="AQ20">
        <v>6</v>
      </c>
      <c r="AR20">
        <f t="shared" si="9"/>
        <v>79</v>
      </c>
      <c r="AS20">
        <f>IF(AND(IFERROR(VLOOKUP(AJ20,Equip!$A:$N,13,FALSE),0)&gt;=5,IFERROR(VLOOKUP(AJ20,Equip!$A:$N,13,FALSE),0)&lt;=9),INT(VLOOKUP(AJ20,Equip!$A:$N,6,FALSE)*SQRT(AN20)),0)</f>
        <v>0</v>
      </c>
      <c r="AT20">
        <f>IF(AND(IFERROR(VLOOKUP(AK20,Equip!$A:$N,13,FALSE),0)&gt;=5,IFERROR(VLOOKUP(AK20,Equip!$A:$N,13,FALSE),0)&lt;=9),INT(VLOOKUP(AK20,Equip!$A:$N,6,FALSE)*SQRT(AO20)),0)</f>
        <v>0</v>
      </c>
      <c r="AU20">
        <f>IF(AND(IFERROR(VLOOKUP(AL20,Equip!$A:$N,13,FALSE),0)&gt;=5,IFERROR(VLOOKUP(AL20,Equip!$A:$N,13,FALSE),0)&lt;=9),INT(VLOOKUP(AL20,Equip!$A:$N,6,FALSE)*SQRT(AP20)),0)</f>
        <v>0</v>
      </c>
      <c r="AV20">
        <f>IF(AND(IFERROR(VLOOKUP(AM20,Equip!$A:$N,13,FALSE),0)&gt;=5,IFERROR(VLOOKUP(AM20,Equip!$A:$N,13,FALSE),0)&lt;=9),INT(VLOOKUP(AM20,Equip!$A:$N,6,FALSE)*SQRT(AQ20)),0)</f>
        <v>0</v>
      </c>
      <c r="AW20">
        <f t="shared" si="2"/>
        <v>0</v>
      </c>
      <c r="AX20">
        <f t="shared" si="3"/>
        <v>447</v>
      </c>
    </row>
    <row r="21" spans="1:50">
      <c r="A21">
        <v>9</v>
      </c>
      <c r="B21" t="s">
        <v>743</v>
      </c>
      <c r="C21" t="s">
        <v>743</v>
      </c>
      <c r="D21">
        <v>0</v>
      </c>
      <c r="E21">
        <v>2179</v>
      </c>
      <c r="F21">
        <v>1189</v>
      </c>
      <c r="G21">
        <v>9</v>
      </c>
      <c r="H21">
        <v>2</v>
      </c>
      <c r="I21">
        <v>1</v>
      </c>
      <c r="J21">
        <v>0</v>
      </c>
      <c r="K21">
        <v>12</v>
      </c>
      <c r="L21">
        <v>4</v>
      </c>
      <c r="M21">
        <v>50</v>
      </c>
      <c r="N21">
        <v>50</v>
      </c>
      <c r="O21">
        <v>0</v>
      </c>
      <c r="P21">
        <v>27</v>
      </c>
      <c r="Q21">
        <v>0</v>
      </c>
      <c r="R21">
        <v>37</v>
      </c>
      <c r="S21">
        <v>26</v>
      </c>
      <c r="T21">
        <v>0</v>
      </c>
      <c r="U21">
        <v>10</v>
      </c>
      <c r="V21">
        <v>42</v>
      </c>
      <c r="W21">
        <v>1</v>
      </c>
      <c r="X21">
        <v>35</v>
      </c>
      <c r="Y21">
        <v>0</v>
      </c>
      <c r="Z21">
        <v>50</v>
      </c>
      <c r="AA21">
        <v>50</v>
      </c>
      <c r="AB21">
        <v>29</v>
      </c>
      <c r="AC21">
        <v>0</v>
      </c>
      <c r="AD21">
        <v>69</v>
      </c>
      <c r="AE21">
        <v>49</v>
      </c>
      <c r="AF21">
        <v>89</v>
      </c>
      <c r="AG21">
        <v>69</v>
      </c>
      <c r="AH21">
        <v>0</v>
      </c>
      <c r="AI21">
        <v>69</v>
      </c>
      <c r="AJ21">
        <v>20</v>
      </c>
      <c r="AK21">
        <v>23</v>
      </c>
      <c r="AL21">
        <v>16</v>
      </c>
      <c r="AM21">
        <v>0</v>
      </c>
      <c r="AN21">
        <v>12</v>
      </c>
      <c r="AO21">
        <v>27</v>
      </c>
      <c r="AP21">
        <v>18</v>
      </c>
      <c r="AQ21">
        <v>7</v>
      </c>
      <c r="AR21">
        <f t="shared" si="9"/>
        <v>64</v>
      </c>
      <c r="AS21">
        <f>IF(AND(IFERROR(VLOOKUP(AJ21,Equip!$A:$N,13,FALSE),0)&gt;=5,IFERROR(VLOOKUP(AJ21,Equip!$A:$N,13,FALSE),0)&lt;=9),INT(VLOOKUP(AJ21,Equip!$A:$N,6,FALSE)*SQRT(AN21)),0)</f>
        <v>0</v>
      </c>
      <c r="AT21">
        <f>IF(AND(IFERROR(VLOOKUP(AK21,Equip!$A:$N,13,FALSE),0)&gt;=5,IFERROR(VLOOKUP(AK21,Equip!$A:$N,13,FALSE),0)&lt;=9),INT(VLOOKUP(AK21,Equip!$A:$N,6,FALSE)*SQRT(AO21)),0)</f>
        <v>0</v>
      </c>
      <c r="AU21">
        <f>IF(AND(IFERROR(VLOOKUP(AL21,Equip!$A:$N,13,FALSE),0)&gt;=5,IFERROR(VLOOKUP(AL21,Equip!$A:$N,13,FALSE),0)&lt;=9),INT(VLOOKUP(AL21,Equip!$A:$N,6,FALSE)*SQRT(AP21)),0)</f>
        <v>0</v>
      </c>
      <c r="AV21">
        <f>IF(AND(IFERROR(VLOOKUP(AM21,Equip!$A:$N,13,FALSE),0)&gt;=5,IFERROR(VLOOKUP(AM21,Equip!$A:$N,13,FALSE),0)&lt;=9),INT(VLOOKUP(AM21,Equip!$A:$N,6,FALSE)*SQRT(AQ21)),0)</f>
        <v>0</v>
      </c>
      <c r="AW21">
        <f t="shared" si="2"/>
        <v>0</v>
      </c>
      <c r="AX21">
        <f t="shared" si="3"/>
        <v>335</v>
      </c>
    </row>
    <row r="22" spans="1:50">
      <c r="A22">
        <v>9</v>
      </c>
      <c r="B22" t="s">
        <v>743</v>
      </c>
      <c r="C22" t="s">
        <v>743</v>
      </c>
      <c r="D22">
        <v>1</v>
      </c>
      <c r="E22">
        <f t="shared" ref="E22:E23" si="46">E21</f>
        <v>2179</v>
      </c>
      <c r="F22">
        <f t="shared" ref="F22:F23" si="47">F21</f>
        <v>1189</v>
      </c>
      <c r="G22">
        <f t="shared" ref="G22:G23" si="48">G21</f>
        <v>9</v>
      </c>
      <c r="H22">
        <f t="shared" ref="H22:H23" si="49">H21</f>
        <v>2</v>
      </c>
      <c r="I22">
        <f t="shared" ref="I22:I23" si="50">I21</f>
        <v>1</v>
      </c>
      <c r="J22">
        <f t="shared" ref="J22:J23" si="51">J21</f>
        <v>0</v>
      </c>
      <c r="K22">
        <v>12</v>
      </c>
      <c r="L22">
        <v>4</v>
      </c>
      <c r="M22">
        <v>65</v>
      </c>
      <c r="N22">
        <v>65</v>
      </c>
      <c r="O22">
        <v>0</v>
      </c>
      <c r="P22">
        <v>35</v>
      </c>
      <c r="Q22">
        <v>0</v>
      </c>
      <c r="R22">
        <v>37</v>
      </c>
      <c r="S22">
        <v>30</v>
      </c>
      <c r="T22">
        <v>0</v>
      </c>
      <c r="U22">
        <f t="shared" si="1"/>
        <v>10</v>
      </c>
      <c r="V22">
        <v>46</v>
      </c>
      <c r="W22">
        <f t="shared" si="1"/>
        <v>1</v>
      </c>
      <c r="X22">
        <v>40</v>
      </c>
      <c r="Y22">
        <f t="shared" si="1"/>
        <v>0</v>
      </c>
      <c r="Z22">
        <v>65</v>
      </c>
      <c r="AA22">
        <v>65</v>
      </c>
      <c r="AB22">
        <v>39</v>
      </c>
      <c r="AC22">
        <v>0</v>
      </c>
      <c r="AD22">
        <v>79</v>
      </c>
      <c r="AE22">
        <v>69</v>
      </c>
      <c r="AF22">
        <v>89</v>
      </c>
      <c r="AG22">
        <v>79</v>
      </c>
      <c r="AH22">
        <v>0</v>
      </c>
      <c r="AI22">
        <v>89</v>
      </c>
      <c r="AJ22">
        <v>21</v>
      </c>
      <c r="AK22">
        <v>24</v>
      </c>
      <c r="AL22">
        <v>16</v>
      </c>
      <c r="AM22">
        <v>0</v>
      </c>
      <c r="AN22">
        <v>18</v>
      </c>
      <c r="AO22">
        <v>27</v>
      </c>
      <c r="AP22">
        <v>18</v>
      </c>
      <c r="AQ22">
        <v>10</v>
      </c>
      <c r="AR22">
        <f t="shared" si="9"/>
        <v>73</v>
      </c>
      <c r="AS22">
        <f>IF(AND(IFERROR(VLOOKUP(AJ22,Equip!$A:$N,13,FALSE),0)&gt;=5,IFERROR(VLOOKUP(AJ22,Equip!$A:$N,13,FALSE),0)&lt;=9),INT(VLOOKUP(AJ22,Equip!$A:$N,6,FALSE)*SQRT(AN22)),0)</f>
        <v>0</v>
      </c>
      <c r="AT22">
        <f>IF(AND(IFERROR(VLOOKUP(AK22,Equip!$A:$N,13,FALSE),0)&gt;=5,IFERROR(VLOOKUP(AK22,Equip!$A:$N,13,FALSE),0)&lt;=9),INT(VLOOKUP(AK22,Equip!$A:$N,6,FALSE)*SQRT(AO22)),0)</f>
        <v>0</v>
      </c>
      <c r="AU22">
        <f>IF(AND(IFERROR(VLOOKUP(AL22,Equip!$A:$N,13,FALSE),0)&gt;=5,IFERROR(VLOOKUP(AL22,Equip!$A:$N,13,FALSE),0)&lt;=9),INT(VLOOKUP(AL22,Equip!$A:$N,6,FALSE)*SQRT(AP22)),0)</f>
        <v>0</v>
      </c>
      <c r="AV22">
        <f>IF(AND(IFERROR(VLOOKUP(AM22,Equip!$A:$N,13,FALSE),0)&gt;=5,IFERROR(VLOOKUP(AM22,Equip!$A:$N,13,FALSE),0)&lt;=9),INT(VLOOKUP(AM22,Equip!$A:$N,6,FALSE)*SQRT(AQ22)),0)</f>
        <v>0</v>
      </c>
      <c r="AW22">
        <f t="shared" si="2"/>
        <v>0</v>
      </c>
      <c r="AX22">
        <f t="shared" si="3"/>
        <v>420</v>
      </c>
    </row>
    <row r="23" spans="1:50">
      <c r="A23">
        <v>9</v>
      </c>
      <c r="B23" t="s">
        <v>743</v>
      </c>
      <c r="C23" t="s">
        <v>743</v>
      </c>
      <c r="D23">
        <v>2</v>
      </c>
      <c r="E23">
        <f t="shared" si="46"/>
        <v>2179</v>
      </c>
      <c r="F23">
        <f t="shared" si="47"/>
        <v>1189</v>
      </c>
      <c r="G23">
        <f t="shared" si="48"/>
        <v>9</v>
      </c>
      <c r="H23">
        <f t="shared" si="49"/>
        <v>2</v>
      </c>
      <c r="I23">
        <f t="shared" si="50"/>
        <v>1</v>
      </c>
      <c r="J23">
        <f t="shared" si="51"/>
        <v>0</v>
      </c>
      <c r="K23">
        <v>12</v>
      </c>
      <c r="L23">
        <v>4</v>
      </c>
      <c r="M23">
        <v>67</v>
      </c>
      <c r="N23">
        <v>67</v>
      </c>
      <c r="O23">
        <v>0</v>
      </c>
      <c r="P23">
        <v>37</v>
      </c>
      <c r="Q23">
        <v>0</v>
      </c>
      <c r="R23">
        <v>40</v>
      </c>
      <c r="S23">
        <v>33</v>
      </c>
      <c r="T23">
        <v>0</v>
      </c>
      <c r="U23">
        <f t="shared" si="1"/>
        <v>10</v>
      </c>
      <c r="V23">
        <v>52</v>
      </c>
      <c r="W23">
        <f t="shared" si="1"/>
        <v>1</v>
      </c>
      <c r="X23">
        <v>50</v>
      </c>
      <c r="Y23">
        <f t="shared" si="1"/>
        <v>0</v>
      </c>
      <c r="Z23">
        <v>70</v>
      </c>
      <c r="AA23">
        <v>75</v>
      </c>
      <c r="AB23">
        <v>64</v>
      </c>
      <c r="AC23">
        <v>0</v>
      </c>
      <c r="AD23">
        <v>82</v>
      </c>
      <c r="AE23">
        <v>76</v>
      </c>
      <c r="AF23">
        <v>92</v>
      </c>
      <c r="AG23">
        <v>82</v>
      </c>
      <c r="AH23">
        <v>0</v>
      </c>
      <c r="AI23">
        <v>89</v>
      </c>
      <c r="AJ23">
        <v>96</v>
      </c>
      <c r="AK23">
        <v>97</v>
      </c>
      <c r="AL23">
        <v>93</v>
      </c>
      <c r="AM23">
        <v>0</v>
      </c>
      <c r="AN23">
        <v>18</v>
      </c>
      <c r="AO23">
        <v>36</v>
      </c>
      <c r="AP23">
        <v>22</v>
      </c>
      <c r="AQ23">
        <v>3</v>
      </c>
      <c r="AR23">
        <f t="shared" si="9"/>
        <v>79</v>
      </c>
      <c r="AS23">
        <f>IF(AND(IFERROR(VLOOKUP(AJ23,Equip!$A:$N,13,FALSE),0)&gt;=5,IFERROR(VLOOKUP(AJ23,Equip!$A:$N,13,FALSE),0)&lt;=9),INT(VLOOKUP(AJ23,Equip!$A:$N,6,FALSE)*SQRT(AN23)),0)</f>
        <v>0</v>
      </c>
      <c r="AT23">
        <f>IF(AND(IFERROR(VLOOKUP(AK23,Equip!$A:$N,13,FALSE),0)&gt;=5,IFERROR(VLOOKUP(AK23,Equip!$A:$N,13,FALSE),0)&lt;=9),INT(VLOOKUP(AK23,Equip!$A:$N,6,FALSE)*SQRT(AO23)),0)</f>
        <v>0</v>
      </c>
      <c r="AU23">
        <f>IF(AND(IFERROR(VLOOKUP(AL23,Equip!$A:$N,13,FALSE),0)&gt;=5,IFERROR(VLOOKUP(AL23,Equip!$A:$N,13,FALSE),0)&lt;=9),INT(VLOOKUP(AL23,Equip!$A:$N,6,FALSE)*SQRT(AP23)),0)</f>
        <v>0</v>
      </c>
      <c r="AV23">
        <f>IF(AND(IFERROR(VLOOKUP(AM23,Equip!$A:$N,13,FALSE),0)&gt;=5,IFERROR(VLOOKUP(AM23,Equip!$A:$N,13,FALSE),0)&lt;=9),INT(VLOOKUP(AM23,Equip!$A:$N,6,FALSE)*SQRT(AQ23)),0)</f>
        <v>0</v>
      </c>
      <c r="AW23">
        <f t="shared" si="2"/>
        <v>0</v>
      </c>
      <c r="AX23">
        <f t="shared" si="3"/>
        <v>460</v>
      </c>
    </row>
    <row r="24" spans="1:50">
      <c r="A24">
        <v>10</v>
      </c>
      <c r="B24" t="s">
        <v>744</v>
      </c>
      <c r="C24" t="s">
        <v>744</v>
      </c>
      <c r="D24">
        <v>0</v>
      </c>
      <c r="E24">
        <v>1420</v>
      </c>
      <c r="F24">
        <v>810</v>
      </c>
      <c r="G24">
        <v>10</v>
      </c>
      <c r="H24">
        <v>1</v>
      </c>
      <c r="I24">
        <v>1</v>
      </c>
      <c r="J24">
        <v>3</v>
      </c>
      <c r="K24">
        <v>1</v>
      </c>
      <c r="L24">
        <v>1</v>
      </c>
      <c r="M24">
        <v>19</v>
      </c>
      <c r="N24">
        <v>19</v>
      </c>
      <c r="O24">
        <v>12</v>
      </c>
      <c r="P24">
        <v>8</v>
      </c>
      <c r="Q24">
        <v>45</v>
      </c>
      <c r="R24">
        <v>50</v>
      </c>
      <c r="S24">
        <v>14</v>
      </c>
      <c r="T24">
        <v>24</v>
      </c>
      <c r="U24">
        <v>14</v>
      </c>
      <c r="V24">
        <v>7</v>
      </c>
      <c r="W24">
        <v>1</v>
      </c>
      <c r="X24">
        <v>10</v>
      </c>
      <c r="Y24">
        <v>0</v>
      </c>
      <c r="Z24">
        <v>20</v>
      </c>
      <c r="AA24">
        <v>25</v>
      </c>
      <c r="AB24">
        <v>29</v>
      </c>
      <c r="AC24">
        <v>89</v>
      </c>
      <c r="AD24">
        <v>49</v>
      </c>
      <c r="AE24">
        <v>29</v>
      </c>
      <c r="AF24">
        <v>49</v>
      </c>
      <c r="AG24">
        <v>99</v>
      </c>
      <c r="AH24">
        <v>49</v>
      </c>
      <c r="AI24">
        <v>19</v>
      </c>
      <c r="AJ24">
        <v>2</v>
      </c>
      <c r="AK24">
        <v>14</v>
      </c>
      <c r="AL24">
        <v>-1</v>
      </c>
      <c r="AM24">
        <v>-1</v>
      </c>
      <c r="AN24">
        <v>0</v>
      </c>
      <c r="AO24">
        <v>0</v>
      </c>
      <c r="AP24">
        <v>0</v>
      </c>
      <c r="AQ24">
        <v>0</v>
      </c>
      <c r="AR24">
        <f t="shared" si="9"/>
        <v>0</v>
      </c>
      <c r="AS24">
        <f>IF(AND(IFERROR(VLOOKUP(AJ24,Equip!$A:$N,13,FALSE),0)&gt;=5,IFERROR(VLOOKUP(AJ24,Equip!$A:$N,13,FALSE),0)&lt;=9),INT(VLOOKUP(AJ24,Equip!$A:$N,6,FALSE)*SQRT(AN24)),0)</f>
        <v>0</v>
      </c>
      <c r="AT24">
        <f>IF(AND(IFERROR(VLOOKUP(AK24,Equip!$A:$N,13,FALSE),0)&gt;=5,IFERROR(VLOOKUP(AK24,Equip!$A:$N,13,FALSE),0)&lt;=9),INT(VLOOKUP(AK24,Equip!$A:$N,6,FALSE)*SQRT(AO24)),0)</f>
        <v>0</v>
      </c>
      <c r="AU24">
        <f>IF(AND(IFERROR(VLOOKUP(AL24,Equip!$A:$N,13,FALSE),0)&gt;=5,IFERROR(VLOOKUP(AL24,Equip!$A:$N,13,FALSE),0)&lt;=9),INT(VLOOKUP(AL24,Equip!$A:$N,6,FALSE)*SQRT(AP24)),0)</f>
        <v>0</v>
      </c>
      <c r="AV24">
        <f>IF(AND(IFERROR(VLOOKUP(AM24,Equip!$A:$N,13,FALSE),0)&gt;=5,IFERROR(VLOOKUP(AM24,Equip!$A:$N,13,FALSE),0)&lt;=9),INT(VLOOKUP(AM24,Equip!$A:$N,6,FALSE)*SQRT(AQ24)),0)</f>
        <v>0</v>
      </c>
      <c r="AW24">
        <f t="shared" si="2"/>
        <v>0</v>
      </c>
      <c r="AX24">
        <f t="shared" si="3"/>
        <v>382</v>
      </c>
    </row>
    <row r="25" spans="1:50">
      <c r="A25">
        <v>10</v>
      </c>
      <c r="B25" t="s">
        <v>744</v>
      </c>
      <c r="C25" t="s">
        <v>744</v>
      </c>
      <c r="D25">
        <v>1</v>
      </c>
      <c r="E25">
        <f>E24</f>
        <v>1420</v>
      </c>
      <c r="F25">
        <f t="shared" ref="F25" si="52">F24</f>
        <v>810</v>
      </c>
      <c r="G25">
        <f t="shared" ref="G25" si="53">G24</f>
        <v>10</v>
      </c>
      <c r="H25">
        <f t="shared" ref="H25" si="54">H24</f>
        <v>1</v>
      </c>
      <c r="I25">
        <f t="shared" ref="I25" si="55">I24</f>
        <v>1</v>
      </c>
      <c r="J25">
        <f t="shared" ref="J25" si="56">J24</f>
        <v>3</v>
      </c>
      <c r="K25">
        <v>1</v>
      </c>
      <c r="L25">
        <v>1</v>
      </c>
      <c r="M25">
        <v>36</v>
      </c>
      <c r="N25">
        <v>36</v>
      </c>
      <c r="O25">
        <v>18</v>
      </c>
      <c r="P25">
        <v>18</v>
      </c>
      <c r="Q25">
        <v>57</v>
      </c>
      <c r="R25">
        <v>63</v>
      </c>
      <c r="S25">
        <v>20</v>
      </c>
      <c r="T25">
        <v>33</v>
      </c>
      <c r="U25">
        <f t="shared" si="1"/>
        <v>14</v>
      </c>
      <c r="V25">
        <v>15</v>
      </c>
      <c r="W25">
        <f t="shared" si="1"/>
        <v>1</v>
      </c>
      <c r="X25">
        <v>12</v>
      </c>
      <c r="Y25">
        <f t="shared" si="1"/>
        <v>0</v>
      </c>
      <c r="Z25">
        <v>20</v>
      </c>
      <c r="AA25">
        <v>25</v>
      </c>
      <c r="AB25">
        <v>59</v>
      </c>
      <c r="AC25">
        <v>99</v>
      </c>
      <c r="AD25">
        <v>59</v>
      </c>
      <c r="AE25">
        <v>59</v>
      </c>
      <c r="AF25">
        <v>59</v>
      </c>
      <c r="AG25">
        <v>99</v>
      </c>
      <c r="AH25">
        <v>59</v>
      </c>
      <c r="AI25">
        <v>39</v>
      </c>
      <c r="AJ25">
        <v>3</v>
      </c>
      <c r="AK25">
        <v>15</v>
      </c>
      <c r="AL25">
        <v>0</v>
      </c>
      <c r="AM25">
        <v>-1</v>
      </c>
      <c r="AN25">
        <v>0</v>
      </c>
      <c r="AO25">
        <v>0</v>
      </c>
      <c r="AP25">
        <v>0</v>
      </c>
      <c r="AQ25">
        <v>0</v>
      </c>
      <c r="AR25">
        <f t="shared" si="9"/>
        <v>0</v>
      </c>
      <c r="AS25">
        <f>IF(AND(IFERROR(VLOOKUP(AJ25,Equip!$A:$N,13,FALSE),0)&gt;=5,IFERROR(VLOOKUP(AJ25,Equip!$A:$N,13,FALSE),0)&lt;=9),INT(VLOOKUP(AJ25,Equip!$A:$N,6,FALSE)*SQRT(AN25)),0)</f>
        <v>0</v>
      </c>
      <c r="AT25">
        <f>IF(AND(IFERROR(VLOOKUP(AK25,Equip!$A:$N,13,FALSE),0)&gt;=5,IFERROR(VLOOKUP(AK25,Equip!$A:$N,13,FALSE),0)&lt;=9),INT(VLOOKUP(AK25,Equip!$A:$N,6,FALSE)*SQRT(AO25)),0)</f>
        <v>0</v>
      </c>
      <c r="AU25">
        <f>IF(AND(IFERROR(VLOOKUP(AL25,Equip!$A:$N,13,FALSE),0)&gt;=5,IFERROR(VLOOKUP(AL25,Equip!$A:$N,13,FALSE),0)&lt;=9),INT(VLOOKUP(AL25,Equip!$A:$N,6,FALSE)*SQRT(AP25)),0)</f>
        <v>0</v>
      </c>
      <c r="AV25">
        <f>IF(AND(IFERROR(VLOOKUP(AM25,Equip!$A:$N,13,FALSE),0)&gt;=5,IFERROR(VLOOKUP(AM25,Equip!$A:$N,13,FALSE),0)&lt;=9),INT(VLOOKUP(AM25,Equip!$A:$N,6,FALSE)*SQRT(AQ25)),0)</f>
        <v>0</v>
      </c>
      <c r="AW25">
        <f t="shared" si="2"/>
        <v>0</v>
      </c>
      <c r="AX25">
        <f t="shared" si="3"/>
        <v>509</v>
      </c>
    </row>
    <row r="26" spans="1:50">
      <c r="A26">
        <v>11</v>
      </c>
      <c r="B26" t="s">
        <v>745</v>
      </c>
      <c r="C26" t="s">
        <v>745</v>
      </c>
      <c r="D26">
        <v>0</v>
      </c>
      <c r="E26">
        <v>1284</v>
      </c>
      <c r="F26">
        <v>742</v>
      </c>
      <c r="G26">
        <v>11</v>
      </c>
      <c r="H26">
        <v>1</v>
      </c>
      <c r="I26">
        <v>1</v>
      </c>
      <c r="J26">
        <v>0</v>
      </c>
      <c r="K26">
        <v>1</v>
      </c>
      <c r="L26">
        <v>1</v>
      </c>
      <c r="M26">
        <v>15</v>
      </c>
      <c r="N26">
        <v>15</v>
      </c>
      <c r="O26">
        <v>10</v>
      </c>
      <c r="P26">
        <v>5</v>
      </c>
      <c r="Q26">
        <v>27</v>
      </c>
      <c r="R26">
        <v>40</v>
      </c>
      <c r="S26">
        <v>10</v>
      </c>
      <c r="T26">
        <v>20</v>
      </c>
      <c r="U26">
        <v>10</v>
      </c>
      <c r="V26">
        <v>5</v>
      </c>
      <c r="W26">
        <v>1</v>
      </c>
      <c r="X26">
        <v>17</v>
      </c>
      <c r="Y26">
        <v>0</v>
      </c>
      <c r="Z26">
        <v>15</v>
      </c>
      <c r="AA26">
        <v>10</v>
      </c>
      <c r="AB26">
        <v>29</v>
      </c>
      <c r="AC26">
        <v>79</v>
      </c>
      <c r="AD26">
        <v>39</v>
      </c>
      <c r="AE26">
        <v>19</v>
      </c>
      <c r="AF26">
        <v>49</v>
      </c>
      <c r="AG26">
        <v>89</v>
      </c>
      <c r="AH26">
        <v>49</v>
      </c>
      <c r="AI26">
        <v>19</v>
      </c>
      <c r="AJ26">
        <v>2</v>
      </c>
      <c r="AK26">
        <v>13</v>
      </c>
      <c r="AL26">
        <v>-1</v>
      </c>
      <c r="AM26">
        <v>-1</v>
      </c>
      <c r="AN26">
        <v>0</v>
      </c>
      <c r="AO26">
        <v>0</v>
      </c>
      <c r="AP26">
        <v>0</v>
      </c>
      <c r="AQ26">
        <v>0</v>
      </c>
      <c r="AR26">
        <f t="shared" si="9"/>
        <v>0</v>
      </c>
      <c r="AS26">
        <f>IF(AND(IFERROR(VLOOKUP(AJ26,Equip!$A:$N,13,FALSE),0)&gt;=5,IFERROR(VLOOKUP(AJ26,Equip!$A:$N,13,FALSE),0)&lt;=9),INT(VLOOKUP(AJ26,Equip!$A:$N,6,FALSE)*SQRT(AN26)),0)</f>
        <v>0</v>
      </c>
      <c r="AT26">
        <f>IF(AND(IFERROR(VLOOKUP(AK26,Equip!$A:$N,13,FALSE),0)&gt;=5,IFERROR(VLOOKUP(AK26,Equip!$A:$N,13,FALSE),0)&lt;=9),INT(VLOOKUP(AK26,Equip!$A:$N,6,FALSE)*SQRT(AO26)),0)</f>
        <v>0</v>
      </c>
      <c r="AU26">
        <f>IF(AND(IFERROR(VLOOKUP(AL26,Equip!$A:$N,13,FALSE),0)&gt;=5,IFERROR(VLOOKUP(AL26,Equip!$A:$N,13,FALSE),0)&lt;=9),INT(VLOOKUP(AL26,Equip!$A:$N,6,FALSE)*SQRT(AP26)),0)</f>
        <v>0</v>
      </c>
      <c r="AV26">
        <f>IF(AND(IFERROR(VLOOKUP(AM26,Equip!$A:$N,13,FALSE),0)&gt;=5,IFERROR(VLOOKUP(AM26,Equip!$A:$N,13,FALSE),0)&lt;=9),INT(VLOOKUP(AM26,Equip!$A:$N,6,FALSE)*SQRT(AQ26)),0)</f>
        <v>0</v>
      </c>
      <c r="AW26">
        <f t="shared" si="2"/>
        <v>0</v>
      </c>
      <c r="AX26">
        <f t="shared" si="3"/>
        <v>338</v>
      </c>
    </row>
    <row r="27" spans="1:50">
      <c r="A27">
        <v>11</v>
      </c>
      <c r="B27" t="s">
        <v>745</v>
      </c>
      <c r="C27" t="s">
        <v>745</v>
      </c>
      <c r="D27">
        <v>1</v>
      </c>
      <c r="E27">
        <f t="shared" ref="E27:E28" si="57">E26</f>
        <v>1284</v>
      </c>
      <c r="F27">
        <f t="shared" ref="F27:F28" si="58">F26</f>
        <v>742</v>
      </c>
      <c r="G27">
        <f t="shared" ref="G27:G28" si="59">G26</f>
        <v>11</v>
      </c>
      <c r="H27">
        <f t="shared" ref="H27:H28" si="60">H26</f>
        <v>1</v>
      </c>
      <c r="I27">
        <f t="shared" ref="I27:I28" si="61">I26</f>
        <v>1</v>
      </c>
      <c r="J27">
        <f t="shared" ref="J27:J28" si="62">J26</f>
        <v>0</v>
      </c>
      <c r="K27">
        <v>1</v>
      </c>
      <c r="L27">
        <v>1</v>
      </c>
      <c r="M27">
        <v>30</v>
      </c>
      <c r="N27">
        <v>30</v>
      </c>
      <c r="O27">
        <v>18</v>
      </c>
      <c r="P27">
        <v>16</v>
      </c>
      <c r="Q27">
        <v>37</v>
      </c>
      <c r="R27">
        <v>53</v>
      </c>
      <c r="S27">
        <v>21</v>
      </c>
      <c r="T27">
        <v>31</v>
      </c>
      <c r="U27">
        <f t="shared" si="1"/>
        <v>10</v>
      </c>
      <c r="V27">
        <v>13</v>
      </c>
      <c r="W27">
        <f t="shared" si="1"/>
        <v>1</v>
      </c>
      <c r="X27">
        <v>12</v>
      </c>
      <c r="Y27">
        <f t="shared" si="1"/>
        <v>0</v>
      </c>
      <c r="Z27">
        <v>15</v>
      </c>
      <c r="AA27">
        <v>20</v>
      </c>
      <c r="AB27">
        <v>49</v>
      </c>
      <c r="AC27">
        <v>79</v>
      </c>
      <c r="AD27">
        <v>49</v>
      </c>
      <c r="AE27">
        <v>49</v>
      </c>
      <c r="AF27">
        <v>49</v>
      </c>
      <c r="AG27">
        <v>89</v>
      </c>
      <c r="AH27">
        <v>59</v>
      </c>
      <c r="AI27">
        <v>39</v>
      </c>
      <c r="AJ27">
        <v>3</v>
      </c>
      <c r="AK27">
        <v>13</v>
      </c>
      <c r="AL27">
        <v>0</v>
      </c>
      <c r="AM27">
        <v>-1</v>
      </c>
      <c r="AN27">
        <v>0</v>
      </c>
      <c r="AO27">
        <v>0</v>
      </c>
      <c r="AP27">
        <v>0</v>
      </c>
      <c r="AQ27">
        <v>0</v>
      </c>
      <c r="AR27">
        <f t="shared" si="9"/>
        <v>0</v>
      </c>
      <c r="AS27">
        <f>IF(AND(IFERROR(VLOOKUP(AJ27,Equip!$A:$N,13,FALSE),0)&gt;=5,IFERROR(VLOOKUP(AJ27,Equip!$A:$N,13,FALSE),0)&lt;=9),INT(VLOOKUP(AJ27,Equip!$A:$N,6,FALSE)*SQRT(AN27)),0)</f>
        <v>0</v>
      </c>
      <c r="AT27">
        <f>IF(AND(IFERROR(VLOOKUP(AK27,Equip!$A:$N,13,FALSE),0)&gt;=5,IFERROR(VLOOKUP(AK27,Equip!$A:$N,13,FALSE),0)&lt;=9),INT(VLOOKUP(AK27,Equip!$A:$N,6,FALSE)*SQRT(AO27)),0)</f>
        <v>0</v>
      </c>
      <c r="AU27">
        <f>IF(AND(IFERROR(VLOOKUP(AL27,Equip!$A:$N,13,FALSE),0)&gt;=5,IFERROR(VLOOKUP(AL27,Equip!$A:$N,13,FALSE),0)&lt;=9),INT(VLOOKUP(AL27,Equip!$A:$N,6,FALSE)*SQRT(AP27)),0)</f>
        <v>0</v>
      </c>
      <c r="AV27">
        <f>IF(AND(IFERROR(VLOOKUP(AM27,Equip!$A:$N,13,FALSE),0)&gt;=5,IFERROR(VLOOKUP(AM27,Equip!$A:$N,13,FALSE),0)&lt;=9),INT(VLOOKUP(AM27,Equip!$A:$N,6,FALSE)*SQRT(AQ27)),0)</f>
        <v>0</v>
      </c>
      <c r="AW27">
        <f t="shared" si="2"/>
        <v>0</v>
      </c>
      <c r="AX27">
        <f t="shared" si="3"/>
        <v>443</v>
      </c>
    </row>
    <row r="28" spans="1:50">
      <c r="A28">
        <v>11</v>
      </c>
      <c r="B28" t="s">
        <v>745</v>
      </c>
      <c r="C28" t="s">
        <v>745</v>
      </c>
      <c r="D28">
        <v>2</v>
      </c>
      <c r="E28">
        <f t="shared" si="57"/>
        <v>1284</v>
      </c>
      <c r="F28">
        <f t="shared" si="58"/>
        <v>742</v>
      </c>
      <c r="G28">
        <f t="shared" si="59"/>
        <v>11</v>
      </c>
      <c r="H28">
        <f t="shared" si="60"/>
        <v>1</v>
      </c>
      <c r="I28">
        <f t="shared" si="61"/>
        <v>1</v>
      </c>
      <c r="J28">
        <f t="shared" si="62"/>
        <v>0</v>
      </c>
      <c r="K28">
        <v>1</v>
      </c>
      <c r="L28">
        <v>1</v>
      </c>
      <c r="M28">
        <v>31</v>
      </c>
      <c r="N28">
        <v>31</v>
      </c>
      <c r="O28">
        <v>28</v>
      </c>
      <c r="P28">
        <v>35</v>
      </c>
      <c r="Q28">
        <v>47</v>
      </c>
      <c r="R28">
        <v>79</v>
      </c>
      <c r="S28">
        <v>48</v>
      </c>
      <c r="T28">
        <v>55</v>
      </c>
      <c r="U28">
        <f t="shared" si="1"/>
        <v>10</v>
      </c>
      <c r="V28">
        <v>42</v>
      </c>
      <c r="W28">
        <f t="shared" si="1"/>
        <v>1</v>
      </c>
      <c r="X28">
        <v>17</v>
      </c>
      <c r="Y28">
        <f t="shared" si="1"/>
        <v>0</v>
      </c>
      <c r="Z28">
        <v>15</v>
      </c>
      <c r="AA28">
        <v>20</v>
      </c>
      <c r="AB28">
        <v>59</v>
      </c>
      <c r="AC28">
        <v>88</v>
      </c>
      <c r="AD28">
        <v>78</v>
      </c>
      <c r="AE28">
        <v>50</v>
      </c>
      <c r="AF28">
        <v>77</v>
      </c>
      <c r="AG28">
        <v>92</v>
      </c>
      <c r="AH28">
        <v>68</v>
      </c>
      <c r="AI28">
        <v>54</v>
      </c>
      <c r="AJ28">
        <v>125</v>
      </c>
      <c r="AK28">
        <v>121</v>
      </c>
      <c r="AL28">
        <v>27</v>
      </c>
      <c r="AM28">
        <v>-1</v>
      </c>
      <c r="AN28">
        <v>0</v>
      </c>
      <c r="AO28">
        <v>0</v>
      </c>
      <c r="AP28">
        <v>0</v>
      </c>
      <c r="AQ28">
        <v>0</v>
      </c>
      <c r="AR28">
        <f t="shared" si="9"/>
        <v>0</v>
      </c>
      <c r="AS28">
        <f>IF(AND(IFERROR(VLOOKUP(AJ28,Equip!$A:$N,13,FALSE),0)&gt;=5,IFERROR(VLOOKUP(AJ28,Equip!$A:$N,13,FALSE),0)&lt;=9),INT(VLOOKUP(AJ28,Equip!$A:$N,6,FALSE)*SQRT(AN28)),0)</f>
        <v>0</v>
      </c>
      <c r="AT28">
        <f>IF(AND(IFERROR(VLOOKUP(AK28,Equip!$A:$N,13,FALSE),0)&gt;=5,IFERROR(VLOOKUP(AK28,Equip!$A:$N,13,FALSE),0)&lt;=9),INT(VLOOKUP(AK28,Equip!$A:$N,6,FALSE)*SQRT(AO28)),0)</f>
        <v>0</v>
      </c>
      <c r="AU28">
        <f>IF(AND(IFERROR(VLOOKUP(AL28,Equip!$A:$N,13,FALSE),0)&gt;=5,IFERROR(VLOOKUP(AL28,Equip!$A:$N,13,FALSE),0)&lt;=9),INT(VLOOKUP(AL28,Equip!$A:$N,6,FALSE)*SQRT(AP28)),0)</f>
        <v>0</v>
      </c>
      <c r="AV28">
        <f>IF(AND(IFERROR(VLOOKUP(AM28,Equip!$A:$N,13,FALSE),0)&gt;=5,IFERROR(VLOOKUP(AM28,Equip!$A:$N,13,FALSE),0)&lt;=9),INT(VLOOKUP(AM28,Equip!$A:$N,6,FALSE)*SQRT(AQ28)),0)</f>
        <v>0</v>
      </c>
      <c r="AW28">
        <f t="shared" si="2"/>
        <v>0</v>
      </c>
      <c r="AX28">
        <f t="shared" si="3"/>
        <v>520</v>
      </c>
    </row>
    <row r="29" spans="1:50">
      <c r="A29">
        <v>12</v>
      </c>
      <c r="B29" t="s">
        <v>746</v>
      </c>
      <c r="C29" t="s">
        <v>746</v>
      </c>
      <c r="D29">
        <v>0</v>
      </c>
      <c r="E29">
        <v>1284</v>
      </c>
      <c r="F29">
        <v>742</v>
      </c>
      <c r="G29">
        <v>12</v>
      </c>
      <c r="H29">
        <v>1</v>
      </c>
      <c r="I29">
        <v>1</v>
      </c>
      <c r="J29">
        <v>0</v>
      </c>
      <c r="K29">
        <v>1</v>
      </c>
      <c r="L29">
        <v>1</v>
      </c>
      <c r="M29">
        <v>15</v>
      </c>
      <c r="N29">
        <v>15</v>
      </c>
      <c r="O29">
        <v>10</v>
      </c>
      <c r="P29">
        <v>5</v>
      </c>
      <c r="Q29">
        <v>27</v>
      </c>
      <c r="R29">
        <v>40</v>
      </c>
      <c r="S29">
        <v>10</v>
      </c>
      <c r="T29">
        <v>20</v>
      </c>
      <c r="U29">
        <v>10</v>
      </c>
      <c r="V29">
        <v>5</v>
      </c>
      <c r="W29">
        <v>1</v>
      </c>
      <c r="X29">
        <v>10</v>
      </c>
      <c r="Y29">
        <v>0</v>
      </c>
      <c r="Z29">
        <v>15</v>
      </c>
      <c r="AA29">
        <v>10</v>
      </c>
      <c r="AB29">
        <v>29</v>
      </c>
      <c r="AC29">
        <v>69</v>
      </c>
      <c r="AD29">
        <v>39</v>
      </c>
      <c r="AE29">
        <v>19</v>
      </c>
      <c r="AF29">
        <v>49</v>
      </c>
      <c r="AG29">
        <v>79</v>
      </c>
      <c r="AH29">
        <v>49</v>
      </c>
      <c r="AI29">
        <v>19</v>
      </c>
      <c r="AJ29">
        <v>2</v>
      </c>
      <c r="AK29">
        <v>13</v>
      </c>
      <c r="AL29">
        <v>-1</v>
      </c>
      <c r="AM29">
        <v>-1</v>
      </c>
      <c r="AN29">
        <v>0</v>
      </c>
      <c r="AO29">
        <v>0</v>
      </c>
      <c r="AP29">
        <v>0</v>
      </c>
      <c r="AQ29">
        <v>0</v>
      </c>
      <c r="AR29">
        <f t="shared" si="9"/>
        <v>0</v>
      </c>
      <c r="AS29">
        <f>IF(AND(IFERROR(VLOOKUP(AJ29,Equip!$A:$N,13,FALSE),0)&gt;=5,IFERROR(VLOOKUP(AJ29,Equip!$A:$N,13,FALSE),0)&lt;=9),INT(VLOOKUP(AJ29,Equip!$A:$N,6,FALSE)*SQRT(AN29)),0)</f>
        <v>0</v>
      </c>
      <c r="AT29">
        <f>IF(AND(IFERROR(VLOOKUP(AK29,Equip!$A:$N,13,FALSE),0)&gt;=5,IFERROR(VLOOKUP(AK29,Equip!$A:$N,13,FALSE),0)&lt;=9),INT(VLOOKUP(AK29,Equip!$A:$N,6,FALSE)*SQRT(AO29)),0)</f>
        <v>0</v>
      </c>
      <c r="AU29">
        <f>IF(AND(IFERROR(VLOOKUP(AL29,Equip!$A:$N,13,FALSE),0)&gt;=5,IFERROR(VLOOKUP(AL29,Equip!$A:$N,13,FALSE),0)&lt;=9),INT(VLOOKUP(AL29,Equip!$A:$N,6,FALSE)*SQRT(AP29)),0)</f>
        <v>0</v>
      </c>
      <c r="AV29">
        <f>IF(AND(IFERROR(VLOOKUP(AM29,Equip!$A:$N,13,FALSE),0)&gt;=5,IFERROR(VLOOKUP(AM29,Equip!$A:$N,13,FALSE),0)&lt;=9),INT(VLOOKUP(AM29,Equip!$A:$N,6,FALSE)*SQRT(AQ29)),0)</f>
        <v>0</v>
      </c>
      <c r="AW29">
        <f t="shared" si="2"/>
        <v>0</v>
      </c>
      <c r="AX29">
        <f t="shared" si="3"/>
        <v>318</v>
      </c>
    </row>
    <row r="30" spans="1:50">
      <c r="A30">
        <v>12</v>
      </c>
      <c r="B30" t="s">
        <v>746</v>
      </c>
      <c r="C30" t="s">
        <v>746</v>
      </c>
      <c r="D30">
        <v>1</v>
      </c>
      <c r="E30">
        <f>E29</f>
        <v>1284</v>
      </c>
      <c r="F30">
        <f t="shared" ref="F30" si="63">F29</f>
        <v>742</v>
      </c>
      <c r="G30">
        <f t="shared" ref="G30" si="64">G29</f>
        <v>12</v>
      </c>
      <c r="H30">
        <f t="shared" ref="H30" si="65">H29</f>
        <v>1</v>
      </c>
      <c r="I30">
        <f t="shared" ref="I30" si="66">I29</f>
        <v>1</v>
      </c>
      <c r="J30">
        <f t="shared" ref="J30" si="67">J29</f>
        <v>0</v>
      </c>
      <c r="K30">
        <v>1</v>
      </c>
      <c r="L30">
        <v>1</v>
      </c>
      <c r="M30">
        <v>30</v>
      </c>
      <c r="N30">
        <v>30</v>
      </c>
      <c r="O30">
        <v>18</v>
      </c>
      <c r="P30">
        <v>16</v>
      </c>
      <c r="Q30">
        <v>37</v>
      </c>
      <c r="R30">
        <v>53</v>
      </c>
      <c r="S30">
        <v>21</v>
      </c>
      <c r="T30">
        <v>31</v>
      </c>
      <c r="U30">
        <f t="shared" si="1"/>
        <v>10</v>
      </c>
      <c r="V30">
        <v>13</v>
      </c>
      <c r="W30">
        <f t="shared" si="1"/>
        <v>1</v>
      </c>
      <c r="X30">
        <v>12</v>
      </c>
      <c r="Y30">
        <f t="shared" si="1"/>
        <v>0</v>
      </c>
      <c r="Z30">
        <v>15</v>
      </c>
      <c r="AA30">
        <v>20</v>
      </c>
      <c r="AB30">
        <v>49</v>
      </c>
      <c r="AC30">
        <v>79</v>
      </c>
      <c r="AD30">
        <v>49</v>
      </c>
      <c r="AE30">
        <v>49</v>
      </c>
      <c r="AF30">
        <v>49</v>
      </c>
      <c r="AG30">
        <v>89</v>
      </c>
      <c r="AH30">
        <v>59</v>
      </c>
      <c r="AI30">
        <v>39</v>
      </c>
      <c r="AJ30">
        <v>3</v>
      </c>
      <c r="AK30">
        <v>13</v>
      </c>
      <c r="AL30">
        <v>0</v>
      </c>
      <c r="AM30">
        <v>-1</v>
      </c>
      <c r="AN30">
        <v>0</v>
      </c>
      <c r="AO30">
        <v>0</v>
      </c>
      <c r="AP30">
        <v>0</v>
      </c>
      <c r="AQ30">
        <v>0</v>
      </c>
      <c r="AR30">
        <f t="shared" si="9"/>
        <v>0</v>
      </c>
      <c r="AS30">
        <f>IF(AND(IFERROR(VLOOKUP(AJ30,Equip!$A:$N,13,FALSE),0)&gt;=5,IFERROR(VLOOKUP(AJ30,Equip!$A:$N,13,FALSE),0)&lt;=9),INT(VLOOKUP(AJ30,Equip!$A:$N,6,FALSE)*SQRT(AN30)),0)</f>
        <v>0</v>
      </c>
      <c r="AT30">
        <f>IF(AND(IFERROR(VLOOKUP(AK30,Equip!$A:$N,13,FALSE),0)&gt;=5,IFERROR(VLOOKUP(AK30,Equip!$A:$N,13,FALSE),0)&lt;=9),INT(VLOOKUP(AK30,Equip!$A:$N,6,FALSE)*SQRT(AO30)),0)</f>
        <v>0</v>
      </c>
      <c r="AU30">
        <f>IF(AND(IFERROR(VLOOKUP(AL30,Equip!$A:$N,13,FALSE),0)&gt;=5,IFERROR(VLOOKUP(AL30,Equip!$A:$N,13,FALSE),0)&lt;=9),INT(VLOOKUP(AL30,Equip!$A:$N,6,FALSE)*SQRT(AP30)),0)</f>
        <v>0</v>
      </c>
      <c r="AV30">
        <f>IF(AND(IFERROR(VLOOKUP(AM30,Equip!$A:$N,13,FALSE),0)&gt;=5,IFERROR(VLOOKUP(AM30,Equip!$A:$N,13,FALSE),0)&lt;=9),INT(VLOOKUP(AM30,Equip!$A:$N,6,FALSE)*SQRT(AQ30)),0)</f>
        <v>0</v>
      </c>
      <c r="AW30">
        <f t="shared" si="2"/>
        <v>0</v>
      </c>
      <c r="AX30">
        <f t="shared" si="3"/>
        <v>443</v>
      </c>
    </row>
    <row r="31" spans="1:50">
      <c r="A31">
        <v>13</v>
      </c>
      <c r="B31" t="s">
        <v>747</v>
      </c>
      <c r="C31" t="s">
        <v>747</v>
      </c>
      <c r="D31">
        <v>0</v>
      </c>
      <c r="E31">
        <v>1284</v>
      </c>
      <c r="F31">
        <v>742</v>
      </c>
      <c r="G31">
        <v>13</v>
      </c>
      <c r="H31">
        <v>1</v>
      </c>
      <c r="I31">
        <v>1</v>
      </c>
      <c r="J31">
        <v>0</v>
      </c>
      <c r="K31">
        <v>1</v>
      </c>
      <c r="L31">
        <v>1</v>
      </c>
      <c r="M31">
        <v>15</v>
      </c>
      <c r="N31">
        <v>15</v>
      </c>
      <c r="O31">
        <v>10</v>
      </c>
      <c r="P31">
        <v>5</v>
      </c>
      <c r="Q31">
        <v>27</v>
      </c>
      <c r="R31">
        <v>40</v>
      </c>
      <c r="S31">
        <v>10</v>
      </c>
      <c r="T31">
        <v>20</v>
      </c>
      <c r="U31">
        <v>10</v>
      </c>
      <c r="V31">
        <v>5</v>
      </c>
      <c r="W31">
        <v>1</v>
      </c>
      <c r="X31">
        <v>10</v>
      </c>
      <c r="Y31">
        <v>0</v>
      </c>
      <c r="Z31">
        <v>15</v>
      </c>
      <c r="AA31">
        <v>10</v>
      </c>
      <c r="AB31">
        <v>29</v>
      </c>
      <c r="AC31">
        <v>69</v>
      </c>
      <c r="AD31">
        <v>39</v>
      </c>
      <c r="AE31">
        <v>19</v>
      </c>
      <c r="AF31">
        <v>49</v>
      </c>
      <c r="AG31">
        <v>79</v>
      </c>
      <c r="AH31">
        <v>49</v>
      </c>
      <c r="AI31">
        <v>19</v>
      </c>
      <c r="AJ31">
        <v>2</v>
      </c>
      <c r="AK31">
        <v>0</v>
      </c>
      <c r="AL31">
        <v>-1</v>
      </c>
      <c r="AM31">
        <v>-1</v>
      </c>
      <c r="AN31">
        <v>0</v>
      </c>
      <c r="AO31">
        <v>0</v>
      </c>
      <c r="AP31">
        <v>0</v>
      </c>
      <c r="AQ31">
        <v>0</v>
      </c>
      <c r="AR31">
        <f t="shared" si="9"/>
        <v>0</v>
      </c>
      <c r="AS31">
        <f>IF(AND(IFERROR(VLOOKUP(AJ31,Equip!$A:$N,13,FALSE),0)&gt;=5,IFERROR(VLOOKUP(AJ31,Equip!$A:$N,13,FALSE),0)&lt;=9),INT(VLOOKUP(AJ31,Equip!$A:$N,6,FALSE)*SQRT(AN31)),0)</f>
        <v>0</v>
      </c>
      <c r="AT31">
        <f>IF(AND(IFERROR(VLOOKUP(AK31,Equip!$A:$N,13,FALSE),0)&gt;=5,IFERROR(VLOOKUP(AK31,Equip!$A:$N,13,FALSE),0)&lt;=9),INT(VLOOKUP(AK31,Equip!$A:$N,6,FALSE)*SQRT(AO31)),0)</f>
        <v>0</v>
      </c>
      <c r="AU31">
        <f>IF(AND(IFERROR(VLOOKUP(AL31,Equip!$A:$N,13,FALSE),0)&gt;=5,IFERROR(VLOOKUP(AL31,Equip!$A:$N,13,FALSE),0)&lt;=9),INT(VLOOKUP(AL31,Equip!$A:$N,6,FALSE)*SQRT(AP31)),0)</f>
        <v>0</v>
      </c>
      <c r="AV31">
        <f>IF(AND(IFERROR(VLOOKUP(AM31,Equip!$A:$N,13,FALSE),0)&gt;=5,IFERROR(VLOOKUP(AM31,Equip!$A:$N,13,FALSE),0)&lt;=9),INT(VLOOKUP(AM31,Equip!$A:$N,6,FALSE)*SQRT(AQ31)),0)</f>
        <v>0</v>
      </c>
      <c r="AW31">
        <f t="shared" si="2"/>
        <v>0</v>
      </c>
      <c r="AX31">
        <f t="shared" si="3"/>
        <v>318</v>
      </c>
    </row>
    <row r="32" spans="1:50">
      <c r="A32">
        <v>13</v>
      </c>
      <c r="B32" t="s">
        <v>747</v>
      </c>
      <c r="C32" t="s">
        <v>747</v>
      </c>
      <c r="D32">
        <v>1</v>
      </c>
      <c r="E32">
        <f>E31</f>
        <v>1284</v>
      </c>
      <c r="F32">
        <f t="shared" ref="F32" si="68">F31</f>
        <v>742</v>
      </c>
      <c r="G32">
        <f t="shared" ref="G32" si="69">G31</f>
        <v>13</v>
      </c>
      <c r="H32">
        <f t="shared" ref="H32" si="70">H31</f>
        <v>1</v>
      </c>
      <c r="I32">
        <f t="shared" ref="I32" si="71">I31</f>
        <v>1</v>
      </c>
      <c r="J32">
        <f t="shared" ref="J32" si="72">J31</f>
        <v>0</v>
      </c>
      <c r="K32">
        <v>1</v>
      </c>
      <c r="L32">
        <v>1</v>
      </c>
      <c r="M32">
        <v>30</v>
      </c>
      <c r="N32">
        <v>30</v>
      </c>
      <c r="O32">
        <v>15</v>
      </c>
      <c r="P32">
        <v>16</v>
      </c>
      <c r="Q32">
        <v>37</v>
      </c>
      <c r="R32">
        <v>53</v>
      </c>
      <c r="S32">
        <v>18</v>
      </c>
      <c r="T32">
        <v>31</v>
      </c>
      <c r="U32">
        <f t="shared" si="1"/>
        <v>10</v>
      </c>
      <c r="V32">
        <v>13</v>
      </c>
      <c r="W32">
        <f t="shared" si="1"/>
        <v>1</v>
      </c>
      <c r="X32">
        <v>12</v>
      </c>
      <c r="Y32">
        <f t="shared" si="1"/>
        <v>0</v>
      </c>
      <c r="Z32">
        <v>15</v>
      </c>
      <c r="AA32">
        <v>20</v>
      </c>
      <c r="AB32">
        <v>49</v>
      </c>
      <c r="AC32">
        <v>79</v>
      </c>
      <c r="AD32">
        <v>49</v>
      </c>
      <c r="AE32">
        <v>49</v>
      </c>
      <c r="AF32">
        <v>49</v>
      </c>
      <c r="AG32">
        <v>89</v>
      </c>
      <c r="AH32">
        <v>59</v>
      </c>
      <c r="AI32">
        <v>39</v>
      </c>
      <c r="AJ32">
        <v>3</v>
      </c>
      <c r="AK32">
        <v>13</v>
      </c>
      <c r="AL32">
        <v>0</v>
      </c>
      <c r="AM32">
        <v>-1</v>
      </c>
      <c r="AN32">
        <v>0</v>
      </c>
      <c r="AO32">
        <v>0</v>
      </c>
      <c r="AP32">
        <v>0</v>
      </c>
      <c r="AQ32">
        <v>0</v>
      </c>
      <c r="AR32">
        <f t="shared" si="9"/>
        <v>0</v>
      </c>
      <c r="AS32">
        <f>IF(AND(IFERROR(VLOOKUP(AJ32,Equip!$A:$N,13,FALSE),0)&gt;=5,IFERROR(VLOOKUP(AJ32,Equip!$A:$N,13,FALSE),0)&lt;=9),INT(VLOOKUP(AJ32,Equip!$A:$N,6,FALSE)*SQRT(AN32)),0)</f>
        <v>0</v>
      </c>
      <c r="AT32">
        <f>IF(AND(IFERROR(VLOOKUP(AK32,Equip!$A:$N,13,FALSE),0)&gt;=5,IFERROR(VLOOKUP(AK32,Equip!$A:$N,13,FALSE),0)&lt;=9),INT(VLOOKUP(AK32,Equip!$A:$N,6,FALSE)*SQRT(AO32)),0)</f>
        <v>0</v>
      </c>
      <c r="AU32">
        <f>IF(AND(IFERROR(VLOOKUP(AL32,Equip!$A:$N,13,FALSE),0)&gt;=5,IFERROR(VLOOKUP(AL32,Equip!$A:$N,13,FALSE),0)&lt;=9),INT(VLOOKUP(AL32,Equip!$A:$N,6,FALSE)*SQRT(AP32)),0)</f>
        <v>0</v>
      </c>
      <c r="AV32">
        <f>IF(AND(IFERROR(VLOOKUP(AM32,Equip!$A:$N,13,FALSE),0)&gt;=5,IFERROR(VLOOKUP(AM32,Equip!$A:$N,13,FALSE),0)&lt;=9),INT(VLOOKUP(AM32,Equip!$A:$N,6,FALSE)*SQRT(AQ32)),0)</f>
        <v>0</v>
      </c>
      <c r="AW32">
        <f t="shared" si="2"/>
        <v>0</v>
      </c>
      <c r="AX32">
        <f t="shared" si="3"/>
        <v>443</v>
      </c>
    </row>
    <row r="33" spans="1:50">
      <c r="A33">
        <v>14</v>
      </c>
      <c r="B33" t="s">
        <v>748</v>
      </c>
      <c r="C33" t="s">
        <v>748</v>
      </c>
      <c r="D33">
        <v>0</v>
      </c>
      <c r="E33">
        <v>1284</v>
      </c>
      <c r="F33">
        <v>742</v>
      </c>
      <c r="G33">
        <v>14</v>
      </c>
      <c r="H33">
        <v>1</v>
      </c>
      <c r="I33">
        <v>1</v>
      </c>
      <c r="J33">
        <v>4</v>
      </c>
      <c r="K33">
        <v>1</v>
      </c>
      <c r="L33">
        <v>1</v>
      </c>
      <c r="M33">
        <v>15</v>
      </c>
      <c r="N33">
        <v>15</v>
      </c>
      <c r="O33">
        <v>10</v>
      </c>
      <c r="P33">
        <v>5</v>
      </c>
      <c r="Q33">
        <v>27</v>
      </c>
      <c r="R33">
        <v>40</v>
      </c>
      <c r="S33">
        <v>10</v>
      </c>
      <c r="T33">
        <v>20</v>
      </c>
      <c r="U33">
        <v>10</v>
      </c>
      <c r="V33">
        <v>5</v>
      </c>
      <c r="W33">
        <v>1</v>
      </c>
      <c r="X33">
        <v>10</v>
      </c>
      <c r="Y33">
        <v>0</v>
      </c>
      <c r="Z33">
        <v>15</v>
      </c>
      <c r="AA33">
        <v>20</v>
      </c>
      <c r="AB33">
        <v>29</v>
      </c>
      <c r="AC33">
        <v>69</v>
      </c>
      <c r="AD33">
        <v>39</v>
      </c>
      <c r="AE33">
        <v>19</v>
      </c>
      <c r="AF33">
        <v>49</v>
      </c>
      <c r="AG33">
        <v>79</v>
      </c>
      <c r="AH33">
        <v>49</v>
      </c>
      <c r="AI33">
        <v>19</v>
      </c>
      <c r="AJ33">
        <v>2</v>
      </c>
      <c r="AK33">
        <v>0</v>
      </c>
      <c r="AL33">
        <v>-1</v>
      </c>
      <c r="AM33">
        <v>-1</v>
      </c>
      <c r="AN33">
        <v>0</v>
      </c>
      <c r="AO33">
        <v>0</v>
      </c>
      <c r="AP33">
        <v>0</v>
      </c>
      <c r="AQ33">
        <v>0</v>
      </c>
      <c r="AR33">
        <f t="shared" si="9"/>
        <v>0</v>
      </c>
      <c r="AS33">
        <f>IF(AND(IFERROR(VLOOKUP(AJ33,Equip!$A:$N,13,FALSE),0)&gt;=5,IFERROR(VLOOKUP(AJ33,Equip!$A:$N,13,FALSE),0)&lt;=9),INT(VLOOKUP(AJ33,Equip!$A:$N,6,FALSE)*SQRT(AN33)),0)</f>
        <v>0</v>
      </c>
      <c r="AT33">
        <f>IF(AND(IFERROR(VLOOKUP(AK33,Equip!$A:$N,13,FALSE),0)&gt;=5,IFERROR(VLOOKUP(AK33,Equip!$A:$N,13,FALSE),0)&lt;=9),INT(VLOOKUP(AK33,Equip!$A:$N,6,FALSE)*SQRT(AO33)),0)</f>
        <v>0</v>
      </c>
      <c r="AU33">
        <f>IF(AND(IFERROR(VLOOKUP(AL33,Equip!$A:$N,13,FALSE),0)&gt;=5,IFERROR(VLOOKUP(AL33,Equip!$A:$N,13,FALSE),0)&lt;=9),INT(VLOOKUP(AL33,Equip!$A:$N,6,FALSE)*SQRT(AP33)),0)</f>
        <v>0</v>
      </c>
      <c r="AV33">
        <f>IF(AND(IFERROR(VLOOKUP(AM33,Equip!$A:$N,13,FALSE),0)&gt;=5,IFERROR(VLOOKUP(AM33,Equip!$A:$N,13,FALSE),0)&lt;=9),INT(VLOOKUP(AM33,Equip!$A:$N,6,FALSE)*SQRT(AQ33)),0)</f>
        <v>0</v>
      </c>
      <c r="AW33">
        <f t="shared" si="2"/>
        <v>0</v>
      </c>
      <c r="AX33">
        <f t="shared" si="3"/>
        <v>318</v>
      </c>
    </row>
    <row r="34" spans="1:50">
      <c r="A34">
        <v>14</v>
      </c>
      <c r="B34" t="s">
        <v>748</v>
      </c>
      <c r="C34" t="s">
        <v>748</v>
      </c>
      <c r="D34">
        <v>1</v>
      </c>
      <c r="E34">
        <f>E33</f>
        <v>1284</v>
      </c>
      <c r="F34">
        <f t="shared" ref="F34" si="73">F33</f>
        <v>742</v>
      </c>
      <c r="G34">
        <f t="shared" ref="G34" si="74">G33</f>
        <v>14</v>
      </c>
      <c r="H34">
        <f t="shared" ref="H34" si="75">H33</f>
        <v>1</v>
      </c>
      <c r="I34">
        <f t="shared" ref="I34" si="76">I33</f>
        <v>1</v>
      </c>
      <c r="J34">
        <f t="shared" ref="J34" si="77">J33</f>
        <v>4</v>
      </c>
      <c r="K34">
        <v>1</v>
      </c>
      <c r="L34">
        <v>1</v>
      </c>
      <c r="M34">
        <v>30</v>
      </c>
      <c r="N34">
        <v>30</v>
      </c>
      <c r="O34">
        <v>15</v>
      </c>
      <c r="P34">
        <v>16</v>
      </c>
      <c r="Q34">
        <v>33</v>
      </c>
      <c r="R34">
        <v>53</v>
      </c>
      <c r="S34">
        <v>18</v>
      </c>
      <c r="T34">
        <v>31</v>
      </c>
      <c r="U34">
        <f t="shared" si="1"/>
        <v>10</v>
      </c>
      <c r="V34">
        <v>13</v>
      </c>
      <c r="W34">
        <f t="shared" si="1"/>
        <v>1</v>
      </c>
      <c r="X34">
        <v>12</v>
      </c>
      <c r="Y34">
        <f t="shared" si="1"/>
        <v>0</v>
      </c>
      <c r="Z34">
        <v>15</v>
      </c>
      <c r="AA34">
        <v>20</v>
      </c>
      <c r="AB34">
        <v>49</v>
      </c>
      <c r="AC34">
        <v>79</v>
      </c>
      <c r="AD34">
        <v>49</v>
      </c>
      <c r="AE34">
        <v>49</v>
      </c>
      <c r="AF34">
        <v>49</v>
      </c>
      <c r="AG34">
        <v>89</v>
      </c>
      <c r="AH34">
        <v>59</v>
      </c>
      <c r="AI34">
        <v>39</v>
      </c>
      <c r="AJ34">
        <v>3</v>
      </c>
      <c r="AK34">
        <v>13</v>
      </c>
      <c r="AL34">
        <v>0</v>
      </c>
      <c r="AM34">
        <v>-1</v>
      </c>
      <c r="AN34">
        <v>0</v>
      </c>
      <c r="AO34">
        <v>0</v>
      </c>
      <c r="AP34">
        <v>0</v>
      </c>
      <c r="AQ34">
        <v>0</v>
      </c>
      <c r="AR34">
        <f t="shared" si="9"/>
        <v>0</v>
      </c>
      <c r="AS34">
        <f>IF(AND(IFERROR(VLOOKUP(AJ34,Equip!$A:$N,13,FALSE),0)&gt;=5,IFERROR(VLOOKUP(AJ34,Equip!$A:$N,13,FALSE),0)&lt;=9),INT(VLOOKUP(AJ34,Equip!$A:$N,6,FALSE)*SQRT(AN34)),0)</f>
        <v>0</v>
      </c>
      <c r="AT34">
        <f>IF(AND(IFERROR(VLOOKUP(AK34,Equip!$A:$N,13,FALSE),0)&gt;=5,IFERROR(VLOOKUP(AK34,Equip!$A:$N,13,FALSE),0)&lt;=9),INT(VLOOKUP(AK34,Equip!$A:$N,6,FALSE)*SQRT(AO34)),0)</f>
        <v>0</v>
      </c>
      <c r="AU34">
        <f>IF(AND(IFERROR(VLOOKUP(AL34,Equip!$A:$N,13,FALSE),0)&gt;=5,IFERROR(VLOOKUP(AL34,Equip!$A:$N,13,FALSE),0)&lt;=9),INT(VLOOKUP(AL34,Equip!$A:$N,6,FALSE)*SQRT(AP34)),0)</f>
        <v>0</v>
      </c>
      <c r="AV34">
        <f>IF(AND(IFERROR(VLOOKUP(AM34,Equip!$A:$N,13,FALSE),0)&gt;=5,IFERROR(VLOOKUP(AM34,Equip!$A:$N,13,FALSE),0)&lt;=9),INT(VLOOKUP(AM34,Equip!$A:$N,6,FALSE)*SQRT(AQ34)),0)</f>
        <v>0</v>
      </c>
      <c r="AW34">
        <f t="shared" si="2"/>
        <v>0</v>
      </c>
      <c r="AX34">
        <f t="shared" si="3"/>
        <v>443</v>
      </c>
    </row>
    <row r="35" spans="1:50">
      <c r="A35">
        <v>15</v>
      </c>
      <c r="B35" t="s">
        <v>749</v>
      </c>
      <c r="C35" t="s">
        <v>749</v>
      </c>
      <c r="D35">
        <v>0</v>
      </c>
      <c r="E35">
        <v>1284</v>
      </c>
      <c r="F35">
        <v>742</v>
      </c>
      <c r="G35">
        <v>15</v>
      </c>
      <c r="H35">
        <v>1</v>
      </c>
      <c r="I35">
        <v>1</v>
      </c>
      <c r="J35">
        <v>5</v>
      </c>
      <c r="K35">
        <v>1</v>
      </c>
      <c r="L35">
        <v>1</v>
      </c>
      <c r="M35">
        <v>15</v>
      </c>
      <c r="N35">
        <v>15</v>
      </c>
      <c r="O35">
        <v>10</v>
      </c>
      <c r="P35">
        <v>5</v>
      </c>
      <c r="Q35">
        <v>27</v>
      </c>
      <c r="R35">
        <v>40</v>
      </c>
      <c r="S35">
        <v>10</v>
      </c>
      <c r="T35">
        <v>20</v>
      </c>
      <c r="U35">
        <v>10</v>
      </c>
      <c r="V35">
        <v>5</v>
      </c>
      <c r="W35">
        <v>1</v>
      </c>
      <c r="X35">
        <v>10</v>
      </c>
      <c r="Y35">
        <v>0</v>
      </c>
      <c r="Z35">
        <v>15</v>
      </c>
      <c r="AA35">
        <v>20</v>
      </c>
      <c r="AB35">
        <v>29</v>
      </c>
      <c r="AC35">
        <v>69</v>
      </c>
      <c r="AD35">
        <v>39</v>
      </c>
      <c r="AE35">
        <v>19</v>
      </c>
      <c r="AF35">
        <v>49</v>
      </c>
      <c r="AG35">
        <v>79</v>
      </c>
      <c r="AH35">
        <v>49</v>
      </c>
      <c r="AI35">
        <v>19</v>
      </c>
      <c r="AJ35">
        <v>2</v>
      </c>
      <c r="AK35">
        <v>0</v>
      </c>
      <c r="AL35">
        <v>-1</v>
      </c>
      <c r="AM35">
        <v>-1</v>
      </c>
      <c r="AN35">
        <v>0</v>
      </c>
      <c r="AO35">
        <v>0</v>
      </c>
      <c r="AP35">
        <v>0</v>
      </c>
      <c r="AQ35">
        <v>0</v>
      </c>
      <c r="AR35">
        <f t="shared" si="9"/>
        <v>0</v>
      </c>
      <c r="AS35">
        <f>IF(AND(IFERROR(VLOOKUP(AJ35,Equip!$A:$N,13,FALSE),0)&gt;=5,IFERROR(VLOOKUP(AJ35,Equip!$A:$N,13,FALSE),0)&lt;=9),INT(VLOOKUP(AJ35,Equip!$A:$N,6,FALSE)*SQRT(AN35)),0)</f>
        <v>0</v>
      </c>
      <c r="AT35">
        <f>IF(AND(IFERROR(VLOOKUP(AK35,Equip!$A:$N,13,FALSE),0)&gt;=5,IFERROR(VLOOKUP(AK35,Equip!$A:$N,13,FALSE),0)&lt;=9),INT(VLOOKUP(AK35,Equip!$A:$N,6,FALSE)*SQRT(AO35)),0)</f>
        <v>0</v>
      </c>
      <c r="AU35">
        <f>IF(AND(IFERROR(VLOOKUP(AL35,Equip!$A:$N,13,FALSE),0)&gt;=5,IFERROR(VLOOKUP(AL35,Equip!$A:$N,13,FALSE),0)&lt;=9),INT(VLOOKUP(AL35,Equip!$A:$N,6,FALSE)*SQRT(AP35)),0)</f>
        <v>0</v>
      </c>
      <c r="AV35">
        <f>IF(AND(IFERROR(VLOOKUP(AM35,Equip!$A:$N,13,FALSE),0)&gt;=5,IFERROR(VLOOKUP(AM35,Equip!$A:$N,13,FALSE),0)&lt;=9),INT(VLOOKUP(AM35,Equip!$A:$N,6,FALSE)*SQRT(AQ35)),0)</f>
        <v>0</v>
      </c>
      <c r="AW35">
        <f t="shared" si="2"/>
        <v>0</v>
      </c>
      <c r="AX35">
        <f t="shared" si="3"/>
        <v>318</v>
      </c>
    </row>
    <row r="36" spans="1:50">
      <c r="A36">
        <v>15</v>
      </c>
      <c r="B36" t="s">
        <v>749</v>
      </c>
      <c r="C36" t="s">
        <v>749</v>
      </c>
      <c r="D36">
        <v>1</v>
      </c>
      <c r="E36">
        <f t="shared" ref="E36:E37" si="78">E35</f>
        <v>1284</v>
      </c>
      <c r="F36">
        <f t="shared" ref="F36:F37" si="79">F35</f>
        <v>742</v>
      </c>
      <c r="G36">
        <f t="shared" ref="G36:G37" si="80">G35</f>
        <v>15</v>
      </c>
      <c r="H36">
        <f t="shared" ref="H36:H37" si="81">H35</f>
        <v>1</v>
      </c>
      <c r="I36">
        <f t="shared" ref="I36:I37" si="82">I35</f>
        <v>1</v>
      </c>
      <c r="J36">
        <f t="shared" ref="J36:J37" si="83">J35</f>
        <v>5</v>
      </c>
      <c r="K36">
        <v>1</v>
      </c>
      <c r="L36">
        <v>1</v>
      </c>
      <c r="M36">
        <v>30</v>
      </c>
      <c r="N36">
        <v>30</v>
      </c>
      <c r="O36">
        <v>18</v>
      </c>
      <c r="P36">
        <v>16</v>
      </c>
      <c r="Q36">
        <v>33</v>
      </c>
      <c r="R36">
        <v>53</v>
      </c>
      <c r="S36">
        <v>18</v>
      </c>
      <c r="T36">
        <v>31</v>
      </c>
      <c r="U36">
        <f t="shared" si="1"/>
        <v>10</v>
      </c>
      <c r="V36">
        <v>13</v>
      </c>
      <c r="W36">
        <f t="shared" si="1"/>
        <v>1</v>
      </c>
      <c r="X36">
        <v>12</v>
      </c>
      <c r="Y36">
        <f t="shared" si="1"/>
        <v>0</v>
      </c>
      <c r="Z36">
        <v>15</v>
      </c>
      <c r="AA36">
        <v>20</v>
      </c>
      <c r="AB36">
        <v>49</v>
      </c>
      <c r="AC36">
        <v>79</v>
      </c>
      <c r="AD36">
        <v>49</v>
      </c>
      <c r="AE36">
        <v>49</v>
      </c>
      <c r="AF36">
        <v>46</v>
      </c>
      <c r="AG36">
        <v>89</v>
      </c>
      <c r="AH36">
        <v>59</v>
      </c>
      <c r="AI36">
        <v>39</v>
      </c>
      <c r="AJ36">
        <v>3</v>
      </c>
      <c r="AK36">
        <v>13</v>
      </c>
      <c r="AL36">
        <v>0</v>
      </c>
      <c r="AM36">
        <v>-1</v>
      </c>
      <c r="AN36">
        <v>0</v>
      </c>
      <c r="AO36">
        <v>0</v>
      </c>
      <c r="AP36">
        <v>0</v>
      </c>
      <c r="AQ36">
        <v>0</v>
      </c>
      <c r="AR36">
        <f t="shared" si="9"/>
        <v>0</v>
      </c>
      <c r="AS36">
        <f>IF(AND(IFERROR(VLOOKUP(AJ36,Equip!$A:$N,13,FALSE),0)&gt;=5,IFERROR(VLOOKUP(AJ36,Equip!$A:$N,13,FALSE),0)&lt;=9),INT(VLOOKUP(AJ36,Equip!$A:$N,6,FALSE)*SQRT(AN36)),0)</f>
        <v>0</v>
      </c>
      <c r="AT36">
        <f>IF(AND(IFERROR(VLOOKUP(AK36,Equip!$A:$N,13,FALSE),0)&gt;=5,IFERROR(VLOOKUP(AK36,Equip!$A:$N,13,FALSE),0)&lt;=9),INT(VLOOKUP(AK36,Equip!$A:$N,6,FALSE)*SQRT(AO36)),0)</f>
        <v>0</v>
      </c>
      <c r="AU36">
        <f>IF(AND(IFERROR(VLOOKUP(AL36,Equip!$A:$N,13,FALSE),0)&gt;=5,IFERROR(VLOOKUP(AL36,Equip!$A:$N,13,FALSE),0)&lt;=9),INT(VLOOKUP(AL36,Equip!$A:$N,6,FALSE)*SQRT(AP36)),0)</f>
        <v>0</v>
      </c>
      <c r="AV36">
        <f>IF(AND(IFERROR(VLOOKUP(AM36,Equip!$A:$N,13,FALSE),0)&gt;=5,IFERROR(VLOOKUP(AM36,Equip!$A:$N,13,FALSE),0)&lt;=9),INT(VLOOKUP(AM36,Equip!$A:$N,6,FALSE)*SQRT(AQ36)),0)</f>
        <v>0</v>
      </c>
      <c r="AW36">
        <f t="shared" si="2"/>
        <v>0</v>
      </c>
      <c r="AX36">
        <f t="shared" si="3"/>
        <v>443</v>
      </c>
    </row>
    <row r="37" spans="1:50">
      <c r="A37">
        <v>15</v>
      </c>
      <c r="B37" t="s">
        <v>749</v>
      </c>
      <c r="C37" t="s">
        <v>749</v>
      </c>
      <c r="D37">
        <v>2</v>
      </c>
      <c r="E37">
        <f t="shared" si="78"/>
        <v>1284</v>
      </c>
      <c r="F37">
        <f t="shared" si="79"/>
        <v>742</v>
      </c>
      <c r="G37">
        <f t="shared" si="80"/>
        <v>15</v>
      </c>
      <c r="H37">
        <f t="shared" si="81"/>
        <v>1</v>
      </c>
      <c r="I37">
        <f t="shared" si="82"/>
        <v>1</v>
      </c>
      <c r="J37">
        <f t="shared" si="83"/>
        <v>5</v>
      </c>
      <c r="K37">
        <v>1</v>
      </c>
      <c r="L37">
        <v>1</v>
      </c>
      <c r="M37">
        <v>31</v>
      </c>
      <c r="N37">
        <v>31</v>
      </c>
      <c r="O37">
        <v>26</v>
      </c>
      <c r="P37">
        <v>35</v>
      </c>
      <c r="Q37">
        <v>65</v>
      </c>
      <c r="R37">
        <v>78</v>
      </c>
      <c r="S37">
        <v>41</v>
      </c>
      <c r="T37">
        <v>56</v>
      </c>
      <c r="U37">
        <f t="shared" si="1"/>
        <v>10</v>
      </c>
      <c r="V37">
        <v>32</v>
      </c>
      <c r="W37">
        <f t="shared" si="1"/>
        <v>1</v>
      </c>
      <c r="X37">
        <v>15</v>
      </c>
      <c r="Y37">
        <f t="shared" si="1"/>
        <v>0</v>
      </c>
      <c r="Z37">
        <v>15</v>
      </c>
      <c r="AA37">
        <v>20</v>
      </c>
      <c r="AB37">
        <v>57</v>
      </c>
      <c r="AC37">
        <v>89</v>
      </c>
      <c r="AD37">
        <v>74</v>
      </c>
      <c r="AE37">
        <v>50</v>
      </c>
      <c r="AF37">
        <v>57</v>
      </c>
      <c r="AG37">
        <v>90</v>
      </c>
      <c r="AH37">
        <v>62</v>
      </c>
      <c r="AI37">
        <v>42</v>
      </c>
      <c r="AJ37">
        <v>91</v>
      </c>
      <c r="AK37">
        <v>91</v>
      </c>
      <c r="AL37">
        <v>125</v>
      </c>
      <c r="AM37">
        <v>-1</v>
      </c>
      <c r="AN37">
        <v>0</v>
      </c>
      <c r="AO37">
        <v>0</v>
      </c>
      <c r="AP37">
        <v>0</v>
      </c>
      <c r="AQ37">
        <v>0</v>
      </c>
      <c r="AR37">
        <f t="shared" si="9"/>
        <v>0</v>
      </c>
      <c r="AS37">
        <f>IF(AND(IFERROR(VLOOKUP(AJ37,Equip!$A:$N,13,FALSE),0)&gt;=5,IFERROR(VLOOKUP(AJ37,Equip!$A:$N,13,FALSE),0)&lt;=9),INT(VLOOKUP(AJ37,Equip!$A:$N,6,FALSE)*SQRT(AN37)),0)</f>
        <v>0</v>
      </c>
      <c r="AT37">
        <f>IF(AND(IFERROR(VLOOKUP(AK37,Equip!$A:$N,13,FALSE),0)&gt;=5,IFERROR(VLOOKUP(AK37,Equip!$A:$N,13,FALSE),0)&lt;=9),INT(VLOOKUP(AK37,Equip!$A:$N,6,FALSE)*SQRT(AO37)),0)</f>
        <v>0</v>
      </c>
      <c r="AU37">
        <f>IF(AND(IFERROR(VLOOKUP(AL37,Equip!$A:$N,13,FALSE),0)&gt;=5,IFERROR(VLOOKUP(AL37,Equip!$A:$N,13,FALSE),0)&lt;=9),INT(VLOOKUP(AL37,Equip!$A:$N,6,FALSE)*SQRT(AP37)),0)</f>
        <v>0</v>
      </c>
      <c r="AV37">
        <f>IF(AND(IFERROR(VLOOKUP(AM37,Equip!$A:$N,13,FALSE),0)&gt;=5,IFERROR(VLOOKUP(AM37,Equip!$A:$N,13,FALSE),0)&lt;=9),INT(VLOOKUP(AM37,Equip!$A:$N,6,FALSE)*SQRT(AQ37)),0)</f>
        <v>0</v>
      </c>
      <c r="AW37">
        <f t="shared" si="2"/>
        <v>0</v>
      </c>
      <c r="AX37">
        <f t="shared" si="3"/>
        <v>495</v>
      </c>
    </row>
    <row r="38" spans="1:50">
      <c r="A38">
        <v>16</v>
      </c>
      <c r="B38" t="s">
        <v>750</v>
      </c>
      <c r="C38" t="s">
        <v>750</v>
      </c>
      <c r="D38">
        <v>0</v>
      </c>
      <c r="E38">
        <v>1284</v>
      </c>
      <c r="F38">
        <v>742</v>
      </c>
      <c r="G38">
        <v>16</v>
      </c>
      <c r="H38">
        <v>1</v>
      </c>
      <c r="I38">
        <v>1</v>
      </c>
      <c r="J38">
        <v>0</v>
      </c>
      <c r="K38">
        <v>1</v>
      </c>
      <c r="L38">
        <v>1</v>
      </c>
      <c r="M38">
        <v>15</v>
      </c>
      <c r="N38">
        <v>15</v>
      </c>
      <c r="O38">
        <v>10</v>
      </c>
      <c r="P38">
        <v>5</v>
      </c>
      <c r="Q38">
        <v>27</v>
      </c>
      <c r="R38">
        <v>40</v>
      </c>
      <c r="S38">
        <v>10</v>
      </c>
      <c r="T38">
        <v>20</v>
      </c>
      <c r="U38">
        <v>10</v>
      </c>
      <c r="V38">
        <v>5</v>
      </c>
      <c r="W38">
        <v>1</v>
      </c>
      <c r="X38">
        <v>10</v>
      </c>
      <c r="Y38">
        <v>0</v>
      </c>
      <c r="Z38">
        <v>15</v>
      </c>
      <c r="AA38">
        <v>20</v>
      </c>
      <c r="AB38">
        <v>29</v>
      </c>
      <c r="AC38">
        <v>69</v>
      </c>
      <c r="AD38">
        <v>39</v>
      </c>
      <c r="AE38">
        <v>19</v>
      </c>
      <c r="AF38">
        <v>49</v>
      </c>
      <c r="AG38">
        <v>79</v>
      </c>
      <c r="AH38">
        <v>49</v>
      </c>
      <c r="AI38">
        <v>19</v>
      </c>
      <c r="AJ38">
        <v>2</v>
      </c>
      <c r="AK38">
        <v>0</v>
      </c>
      <c r="AL38">
        <v>-1</v>
      </c>
      <c r="AM38">
        <v>-1</v>
      </c>
      <c r="AN38">
        <v>0</v>
      </c>
      <c r="AO38">
        <v>0</v>
      </c>
      <c r="AP38">
        <v>0</v>
      </c>
      <c r="AQ38">
        <v>0</v>
      </c>
      <c r="AR38">
        <f t="shared" si="9"/>
        <v>0</v>
      </c>
      <c r="AS38">
        <f>IF(AND(IFERROR(VLOOKUP(AJ38,Equip!$A:$N,13,FALSE),0)&gt;=5,IFERROR(VLOOKUP(AJ38,Equip!$A:$N,13,FALSE),0)&lt;=9),INT(VLOOKUP(AJ38,Equip!$A:$N,6,FALSE)*SQRT(AN38)),0)</f>
        <v>0</v>
      </c>
      <c r="AT38">
        <f>IF(AND(IFERROR(VLOOKUP(AK38,Equip!$A:$N,13,FALSE),0)&gt;=5,IFERROR(VLOOKUP(AK38,Equip!$A:$N,13,FALSE),0)&lt;=9),INT(VLOOKUP(AK38,Equip!$A:$N,6,FALSE)*SQRT(AO38)),0)</f>
        <v>0</v>
      </c>
      <c r="AU38">
        <f>IF(AND(IFERROR(VLOOKUP(AL38,Equip!$A:$N,13,FALSE),0)&gt;=5,IFERROR(VLOOKUP(AL38,Equip!$A:$N,13,FALSE),0)&lt;=9),INT(VLOOKUP(AL38,Equip!$A:$N,6,FALSE)*SQRT(AP38)),0)</f>
        <v>0</v>
      </c>
      <c r="AV38">
        <f>IF(AND(IFERROR(VLOOKUP(AM38,Equip!$A:$N,13,FALSE),0)&gt;=5,IFERROR(VLOOKUP(AM38,Equip!$A:$N,13,FALSE),0)&lt;=9),INT(VLOOKUP(AM38,Equip!$A:$N,6,FALSE)*SQRT(AQ38)),0)</f>
        <v>0</v>
      </c>
      <c r="AW38">
        <f t="shared" si="2"/>
        <v>0</v>
      </c>
      <c r="AX38">
        <f t="shared" si="3"/>
        <v>318</v>
      </c>
    </row>
    <row r="39" spans="1:50">
      <c r="A39">
        <v>16</v>
      </c>
      <c r="B39" t="s">
        <v>750</v>
      </c>
      <c r="C39" t="s">
        <v>750</v>
      </c>
      <c r="D39">
        <v>1</v>
      </c>
      <c r="E39">
        <f>E38</f>
        <v>1284</v>
      </c>
      <c r="F39">
        <f t="shared" ref="F39" si="84">F38</f>
        <v>742</v>
      </c>
      <c r="G39">
        <f t="shared" ref="G39" si="85">G38</f>
        <v>16</v>
      </c>
      <c r="H39">
        <f t="shared" ref="H39" si="86">H38</f>
        <v>1</v>
      </c>
      <c r="I39">
        <f t="shared" ref="I39" si="87">I38</f>
        <v>1</v>
      </c>
      <c r="J39">
        <f t="shared" ref="J39" si="88">J38</f>
        <v>0</v>
      </c>
      <c r="K39">
        <v>1</v>
      </c>
      <c r="L39">
        <v>1</v>
      </c>
      <c r="M39">
        <v>30</v>
      </c>
      <c r="N39">
        <v>30</v>
      </c>
      <c r="O39">
        <v>17</v>
      </c>
      <c r="P39">
        <v>16</v>
      </c>
      <c r="Q39">
        <v>42</v>
      </c>
      <c r="R39">
        <v>53</v>
      </c>
      <c r="S39">
        <v>28</v>
      </c>
      <c r="T39">
        <v>31</v>
      </c>
      <c r="U39">
        <f t="shared" si="1"/>
        <v>10</v>
      </c>
      <c r="V39">
        <v>13</v>
      </c>
      <c r="W39">
        <f t="shared" si="1"/>
        <v>1</v>
      </c>
      <c r="X39">
        <v>12</v>
      </c>
      <c r="Y39">
        <f t="shared" si="1"/>
        <v>0</v>
      </c>
      <c r="Z39">
        <v>15</v>
      </c>
      <c r="AA39">
        <v>20</v>
      </c>
      <c r="AB39">
        <v>49</v>
      </c>
      <c r="AC39">
        <v>79</v>
      </c>
      <c r="AD39">
        <v>49</v>
      </c>
      <c r="AE39">
        <v>49</v>
      </c>
      <c r="AF39">
        <v>49</v>
      </c>
      <c r="AG39">
        <v>89</v>
      </c>
      <c r="AH39">
        <v>59</v>
      </c>
      <c r="AI39">
        <v>39</v>
      </c>
      <c r="AJ39">
        <v>3</v>
      </c>
      <c r="AK39">
        <v>13</v>
      </c>
      <c r="AL39">
        <v>0</v>
      </c>
      <c r="AM39">
        <v>-1</v>
      </c>
      <c r="AN39">
        <v>0</v>
      </c>
      <c r="AO39">
        <v>0</v>
      </c>
      <c r="AP39">
        <v>0</v>
      </c>
      <c r="AQ39">
        <v>0</v>
      </c>
      <c r="AR39">
        <f t="shared" si="9"/>
        <v>0</v>
      </c>
      <c r="AS39">
        <f>IF(AND(IFERROR(VLOOKUP(AJ39,Equip!$A:$N,13,FALSE),0)&gt;=5,IFERROR(VLOOKUP(AJ39,Equip!$A:$N,13,FALSE),0)&lt;=9),INT(VLOOKUP(AJ39,Equip!$A:$N,6,FALSE)*SQRT(AN39)),0)</f>
        <v>0</v>
      </c>
      <c r="AT39">
        <f>IF(AND(IFERROR(VLOOKUP(AK39,Equip!$A:$N,13,FALSE),0)&gt;=5,IFERROR(VLOOKUP(AK39,Equip!$A:$N,13,FALSE),0)&lt;=9),INT(VLOOKUP(AK39,Equip!$A:$N,6,FALSE)*SQRT(AO39)),0)</f>
        <v>0</v>
      </c>
      <c r="AU39">
        <f>IF(AND(IFERROR(VLOOKUP(AL39,Equip!$A:$N,13,FALSE),0)&gt;=5,IFERROR(VLOOKUP(AL39,Equip!$A:$N,13,FALSE),0)&lt;=9),INT(VLOOKUP(AL39,Equip!$A:$N,6,FALSE)*SQRT(AP39)),0)</f>
        <v>0</v>
      </c>
      <c r="AV39">
        <f>IF(AND(IFERROR(VLOOKUP(AM39,Equip!$A:$N,13,FALSE),0)&gt;=5,IFERROR(VLOOKUP(AM39,Equip!$A:$N,13,FALSE),0)&lt;=9),INT(VLOOKUP(AM39,Equip!$A:$N,6,FALSE)*SQRT(AQ39)),0)</f>
        <v>0</v>
      </c>
      <c r="AW39">
        <f t="shared" si="2"/>
        <v>0</v>
      </c>
      <c r="AX39">
        <f t="shared" si="3"/>
        <v>443</v>
      </c>
    </row>
    <row r="40" spans="1:50">
      <c r="A40">
        <v>17</v>
      </c>
      <c r="B40" t="s">
        <v>751</v>
      </c>
      <c r="C40" t="s">
        <v>751</v>
      </c>
      <c r="D40">
        <v>0</v>
      </c>
      <c r="E40">
        <v>1284</v>
      </c>
      <c r="F40">
        <v>742</v>
      </c>
      <c r="G40">
        <v>17</v>
      </c>
      <c r="H40">
        <v>1</v>
      </c>
      <c r="I40">
        <v>1</v>
      </c>
      <c r="J40">
        <v>0</v>
      </c>
      <c r="K40">
        <v>1</v>
      </c>
      <c r="L40">
        <v>1</v>
      </c>
      <c r="M40">
        <v>15</v>
      </c>
      <c r="N40">
        <v>15</v>
      </c>
      <c r="O40">
        <v>10</v>
      </c>
      <c r="P40">
        <v>5</v>
      </c>
      <c r="Q40">
        <v>27</v>
      </c>
      <c r="R40">
        <v>41</v>
      </c>
      <c r="S40">
        <v>12</v>
      </c>
      <c r="T40">
        <v>20</v>
      </c>
      <c r="U40">
        <v>10</v>
      </c>
      <c r="V40">
        <v>5</v>
      </c>
      <c r="W40">
        <v>1</v>
      </c>
      <c r="X40">
        <v>12</v>
      </c>
      <c r="Y40">
        <v>0</v>
      </c>
      <c r="Z40">
        <v>15</v>
      </c>
      <c r="AA40">
        <v>20</v>
      </c>
      <c r="AB40">
        <v>29</v>
      </c>
      <c r="AC40">
        <v>79</v>
      </c>
      <c r="AD40">
        <v>39</v>
      </c>
      <c r="AE40">
        <v>19</v>
      </c>
      <c r="AF40">
        <v>49</v>
      </c>
      <c r="AG40">
        <v>89</v>
      </c>
      <c r="AH40">
        <v>49</v>
      </c>
      <c r="AI40">
        <v>19</v>
      </c>
      <c r="AJ40">
        <v>2</v>
      </c>
      <c r="AK40">
        <v>13</v>
      </c>
      <c r="AL40">
        <v>-1</v>
      </c>
      <c r="AM40">
        <v>-1</v>
      </c>
      <c r="AN40">
        <v>0</v>
      </c>
      <c r="AO40">
        <v>0</v>
      </c>
      <c r="AP40">
        <v>0</v>
      </c>
      <c r="AQ40">
        <v>0</v>
      </c>
      <c r="AR40">
        <f t="shared" si="9"/>
        <v>0</v>
      </c>
      <c r="AS40">
        <f>IF(AND(IFERROR(VLOOKUP(AJ40,Equip!$A:$N,13,FALSE),0)&gt;=5,IFERROR(VLOOKUP(AJ40,Equip!$A:$N,13,FALSE),0)&lt;=9),INT(VLOOKUP(AJ40,Equip!$A:$N,6,FALSE)*SQRT(AN40)),0)</f>
        <v>0</v>
      </c>
      <c r="AT40">
        <f>IF(AND(IFERROR(VLOOKUP(AK40,Equip!$A:$N,13,FALSE),0)&gt;=5,IFERROR(VLOOKUP(AK40,Equip!$A:$N,13,FALSE),0)&lt;=9),INT(VLOOKUP(AK40,Equip!$A:$N,6,FALSE)*SQRT(AO40)),0)</f>
        <v>0</v>
      </c>
      <c r="AU40">
        <f>IF(AND(IFERROR(VLOOKUP(AL40,Equip!$A:$N,13,FALSE),0)&gt;=5,IFERROR(VLOOKUP(AL40,Equip!$A:$N,13,FALSE),0)&lt;=9),INT(VLOOKUP(AL40,Equip!$A:$N,6,FALSE)*SQRT(AP40)),0)</f>
        <v>0</v>
      </c>
      <c r="AV40">
        <f>IF(AND(IFERROR(VLOOKUP(AM40,Equip!$A:$N,13,FALSE),0)&gt;=5,IFERROR(VLOOKUP(AM40,Equip!$A:$N,13,FALSE),0)&lt;=9),INT(VLOOKUP(AM40,Equip!$A:$N,6,FALSE)*SQRT(AQ40)),0)</f>
        <v>0</v>
      </c>
      <c r="AW40">
        <f t="shared" si="2"/>
        <v>0</v>
      </c>
      <c r="AX40">
        <f t="shared" si="3"/>
        <v>338</v>
      </c>
    </row>
    <row r="41" spans="1:50">
      <c r="A41">
        <v>17</v>
      </c>
      <c r="B41" t="s">
        <v>751</v>
      </c>
      <c r="C41" t="s">
        <v>751</v>
      </c>
      <c r="D41">
        <v>1</v>
      </c>
      <c r="E41">
        <f t="shared" ref="E41:E42" si="89">E40</f>
        <v>1284</v>
      </c>
      <c r="F41">
        <f t="shared" ref="F41:F42" si="90">F40</f>
        <v>742</v>
      </c>
      <c r="G41">
        <f t="shared" ref="G41:G42" si="91">G40</f>
        <v>17</v>
      </c>
      <c r="H41">
        <f t="shared" ref="H41:H42" si="92">H40</f>
        <v>1</v>
      </c>
      <c r="I41">
        <f t="shared" ref="I41:I42" si="93">I40</f>
        <v>1</v>
      </c>
      <c r="J41">
        <f t="shared" ref="J41:J42" si="94">J40</f>
        <v>0</v>
      </c>
      <c r="K41">
        <v>1</v>
      </c>
      <c r="L41">
        <v>1</v>
      </c>
      <c r="M41">
        <v>30</v>
      </c>
      <c r="N41">
        <v>30</v>
      </c>
      <c r="O41">
        <v>18</v>
      </c>
      <c r="P41">
        <v>19</v>
      </c>
      <c r="Q41">
        <v>37</v>
      </c>
      <c r="R41">
        <v>53</v>
      </c>
      <c r="S41">
        <v>18</v>
      </c>
      <c r="T41">
        <v>31</v>
      </c>
      <c r="U41">
        <f t="shared" si="1"/>
        <v>10</v>
      </c>
      <c r="V41">
        <v>13</v>
      </c>
      <c r="W41">
        <f t="shared" si="1"/>
        <v>1</v>
      </c>
      <c r="X41">
        <v>12</v>
      </c>
      <c r="Y41">
        <f t="shared" si="1"/>
        <v>0</v>
      </c>
      <c r="Z41">
        <v>15</v>
      </c>
      <c r="AA41">
        <v>20</v>
      </c>
      <c r="AB41">
        <v>49</v>
      </c>
      <c r="AC41">
        <v>79</v>
      </c>
      <c r="AD41">
        <v>49</v>
      </c>
      <c r="AE41">
        <v>49</v>
      </c>
      <c r="AF41">
        <v>49</v>
      </c>
      <c r="AG41">
        <v>89</v>
      </c>
      <c r="AH41">
        <v>59</v>
      </c>
      <c r="AI41">
        <v>39</v>
      </c>
      <c r="AJ41">
        <v>3</v>
      </c>
      <c r="AK41">
        <v>13</v>
      </c>
      <c r="AL41">
        <v>0</v>
      </c>
      <c r="AM41">
        <v>-1</v>
      </c>
      <c r="AN41">
        <v>0</v>
      </c>
      <c r="AO41">
        <v>0</v>
      </c>
      <c r="AP41">
        <v>0</v>
      </c>
      <c r="AQ41">
        <v>0</v>
      </c>
      <c r="AR41">
        <f t="shared" si="9"/>
        <v>0</v>
      </c>
      <c r="AS41">
        <f>IF(AND(IFERROR(VLOOKUP(AJ41,Equip!$A:$N,13,FALSE),0)&gt;=5,IFERROR(VLOOKUP(AJ41,Equip!$A:$N,13,FALSE),0)&lt;=9),INT(VLOOKUP(AJ41,Equip!$A:$N,6,FALSE)*SQRT(AN41)),0)</f>
        <v>0</v>
      </c>
      <c r="AT41">
        <f>IF(AND(IFERROR(VLOOKUP(AK41,Equip!$A:$N,13,FALSE),0)&gt;=5,IFERROR(VLOOKUP(AK41,Equip!$A:$N,13,FALSE),0)&lt;=9),INT(VLOOKUP(AK41,Equip!$A:$N,6,FALSE)*SQRT(AO41)),0)</f>
        <v>0</v>
      </c>
      <c r="AU41">
        <f>IF(AND(IFERROR(VLOOKUP(AL41,Equip!$A:$N,13,FALSE),0)&gt;=5,IFERROR(VLOOKUP(AL41,Equip!$A:$N,13,FALSE),0)&lt;=9),INT(VLOOKUP(AL41,Equip!$A:$N,6,FALSE)*SQRT(AP41)),0)</f>
        <v>0</v>
      </c>
      <c r="AV41">
        <f>IF(AND(IFERROR(VLOOKUP(AM41,Equip!$A:$N,13,FALSE),0)&gt;=5,IFERROR(VLOOKUP(AM41,Equip!$A:$N,13,FALSE),0)&lt;=9),INT(VLOOKUP(AM41,Equip!$A:$N,6,FALSE)*SQRT(AQ41)),0)</f>
        <v>0</v>
      </c>
      <c r="AW41">
        <f t="shared" si="2"/>
        <v>0</v>
      </c>
      <c r="AX41">
        <f t="shared" si="3"/>
        <v>443</v>
      </c>
    </row>
    <row r="42" spans="1:50">
      <c r="A42">
        <v>17</v>
      </c>
      <c r="B42" t="s">
        <v>751</v>
      </c>
      <c r="C42" t="s">
        <v>751</v>
      </c>
      <c r="D42">
        <v>2</v>
      </c>
      <c r="E42">
        <f t="shared" si="89"/>
        <v>1284</v>
      </c>
      <c r="F42">
        <f t="shared" si="90"/>
        <v>742</v>
      </c>
      <c r="G42">
        <f t="shared" si="91"/>
        <v>17</v>
      </c>
      <c r="H42">
        <f t="shared" si="92"/>
        <v>1</v>
      </c>
      <c r="I42">
        <f t="shared" si="93"/>
        <v>1</v>
      </c>
      <c r="J42">
        <f t="shared" si="94"/>
        <v>0</v>
      </c>
      <c r="K42">
        <v>1</v>
      </c>
      <c r="L42">
        <v>1</v>
      </c>
      <c r="M42">
        <v>32</v>
      </c>
      <c r="N42">
        <v>32</v>
      </c>
      <c r="O42">
        <v>32</v>
      </c>
      <c r="P42">
        <v>39</v>
      </c>
      <c r="Q42">
        <v>66</v>
      </c>
      <c r="R42">
        <v>78</v>
      </c>
      <c r="S42">
        <v>37</v>
      </c>
      <c r="T42">
        <v>51</v>
      </c>
      <c r="U42">
        <f t="shared" si="1"/>
        <v>10</v>
      </c>
      <c r="V42">
        <v>38</v>
      </c>
      <c r="W42">
        <f t="shared" si="1"/>
        <v>1</v>
      </c>
      <c r="X42">
        <v>40</v>
      </c>
      <c r="Y42">
        <f t="shared" si="1"/>
        <v>0</v>
      </c>
      <c r="Z42">
        <v>15</v>
      </c>
      <c r="AA42">
        <v>20</v>
      </c>
      <c r="AB42">
        <v>72</v>
      </c>
      <c r="AC42">
        <v>88</v>
      </c>
      <c r="AD42">
        <v>52</v>
      </c>
      <c r="AE42">
        <v>54</v>
      </c>
      <c r="AF42">
        <v>84</v>
      </c>
      <c r="AG42">
        <v>90</v>
      </c>
      <c r="AH42">
        <v>63</v>
      </c>
      <c r="AI42">
        <v>49</v>
      </c>
      <c r="AJ42">
        <v>91</v>
      </c>
      <c r="AK42">
        <v>101</v>
      </c>
      <c r="AL42">
        <v>74</v>
      </c>
      <c r="AM42">
        <v>-1</v>
      </c>
      <c r="AN42">
        <v>0</v>
      </c>
      <c r="AO42">
        <v>0</v>
      </c>
      <c r="AP42">
        <v>0</v>
      </c>
      <c r="AQ42">
        <v>0</v>
      </c>
      <c r="AR42">
        <f t="shared" si="9"/>
        <v>0</v>
      </c>
      <c r="AS42">
        <f>IF(AND(IFERROR(VLOOKUP(AJ42,Equip!$A:$N,13,FALSE),0)&gt;=5,IFERROR(VLOOKUP(AJ42,Equip!$A:$N,13,FALSE),0)&lt;=9),INT(VLOOKUP(AJ42,Equip!$A:$N,6,FALSE)*SQRT(AN42)),0)</f>
        <v>0</v>
      </c>
      <c r="AT42">
        <f>IF(AND(IFERROR(VLOOKUP(AK42,Equip!$A:$N,13,FALSE),0)&gt;=5,IFERROR(VLOOKUP(AK42,Equip!$A:$N,13,FALSE),0)&lt;=9),INT(VLOOKUP(AK42,Equip!$A:$N,6,FALSE)*SQRT(AO42)),0)</f>
        <v>0</v>
      </c>
      <c r="AU42">
        <f>IF(AND(IFERROR(VLOOKUP(AL42,Equip!$A:$N,13,FALSE),0)&gt;=5,IFERROR(VLOOKUP(AL42,Equip!$A:$N,13,FALSE),0)&lt;=9),INT(VLOOKUP(AL42,Equip!$A:$N,6,FALSE)*SQRT(AP42)),0)</f>
        <v>0</v>
      </c>
      <c r="AV42">
        <f>IF(AND(IFERROR(VLOOKUP(AM42,Equip!$A:$N,13,FALSE),0)&gt;=5,IFERROR(VLOOKUP(AM42,Equip!$A:$N,13,FALSE),0)&lt;=9),INT(VLOOKUP(AM42,Equip!$A:$N,6,FALSE)*SQRT(AQ42)),0)</f>
        <v>0</v>
      </c>
      <c r="AW42">
        <f t="shared" si="2"/>
        <v>0</v>
      </c>
      <c r="AX42">
        <f t="shared" si="3"/>
        <v>500</v>
      </c>
    </row>
    <row r="43" spans="1:50">
      <c r="A43">
        <v>18</v>
      </c>
      <c r="B43" t="s">
        <v>752</v>
      </c>
      <c r="C43" t="s">
        <v>752</v>
      </c>
      <c r="D43">
        <v>0</v>
      </c>
      <c r="E43">
        <v>1284</v>
      </c>
      <c r="F43">
        <v>742</v>
      </c>
      <c r="G43">
        <v>18</v>
      </c>
      <c r="H43">
        <v>1</v>
      </c>
      <c r="I43">
        <v>1</v>
      </c>
      <c r="J43">
        <v>9</v>
      </c>
      <c r="K43">
        <v>1</v>
      </c>
      <c r="L43">
        <v>1</v>
      </c>
      <c r="M43">
        <v>15</v>
      </c>
      <c r="N43">
        <v>15</v>
      </c>
      <c r="O43">
        <v>10</v>
      </c>
      <c r="P43">
        <v>5</v>
      </c>
      <c r="Q43">
        <v>27</v>
      </c>
      <c r="R43">
        <v>41</v>
      </c>
      <c r="S43">
        <v>12</v>
      </c>
      <c r="T43">
        <v>20</v>
      </c>
      <c r="U43">
        <v>10</v>
      </c>
      <c r="V43">
        <v>5</v>
      </c>
      <c r="W43">
        <v>1</v>
      </c>
      <c r="X43">
        <v>10</v>
      </c>
      <c r="Y43">
        <v>0</v>
      </c>
      <c r="Z43">
        <v>15</v>
      </c>
      <c r="AA43">
        <v>20</v>
      </c>
      <c r="AB43">
        <v>29</v>
      </c>
      <c r="AC43">
        <v>69</v>
      </c>
      <c r="AD43">
        <v>39</v>
      </c>
      <c r="AE43">
        <v>19</v>
      </c>
      <c r="AF43">
        <v>49</v>
      </c>
      <c r="AG43">
        <v>79</v>
      </c>
      <c r="AH43">
        <v>49</v>
      </c>
      <c r="AI43">
        <v>19</v>
      </c>
      <c r="AJ43">
        <v>2</v>
      </c>
      <c r="AK43">
        <v>0</v>
      </c>
      <c r="AL43">
        <v>-1</v>
      </c>
      <c r="AM43">
        <v>-1</v>
      </c>
      <c r="AN43">
        <v>0</v>
      </c>
      <c r="AO43">
        <v>0</v>
      </c>
      <c r="AP43">
        <v>0</v>
      </c>
      <c r="AQ43">
        <v>0</v>
      </c>
      <c r="AR43">
        <f t="shared" si="9"/>
        <v>0</v>
      </c>
      <c r="AS43">
        <f>IF(AND(IFERROR(VLOOKUP(AJ43,Equip!$A:$N,13,FALSE),0)&gt;=5,IFERROR(VLOOKUP(AJ43,Equip!$A:$N,13,FALSE),0)&lt;=9),INT(VLOOKUP(AJ43,Equip!$A:$N,6,FALSE)*SQRT(AN43)),0)</f>
        <v>0</v>
      </c>
      <c r="AT43">
        <f>IF(AND(IFERROR(VLOOKUP(AK43,Equip!$A:$N,13,FALSE),0)&gt;=5,IFERROR(VLOOKUP(AK43,Equip!$A:$N,13,FALSE),0)&lt;=9),INT(VLOOKUP(AK43,Equip!$A:$N,6,FALSE)*SQRT(AO43)),0)</f>
        <v>0</v>
      </c>
      <c r="AU43">
        <f>IF(AND(IFERROR(VLOOKUP(AL43,Equip!$A:$N,13,FALSE),0)&gt;=5,IFERROR(VLOOKUP(AL43,Equip!$A:$N,13,FALSE),0)&lt;=9),INT(VLOOKUP(AL43,Equip!$A:$N,6,FALSE)*SQRT(AP43)),0)</f>
        <v>0</v>
      </c>
      <c r="AV43">
        <f>IF(AND(IFERROR(VLOOKUP(AM43,Equip!$A:$N,13,FALSE),0)&gt;=5,IFERROR(VLOOKUP(AM43,Equip!$A:$N,13,FALSE),0)&lt;=9),INT(VLOOKUP(AM43,Equip!$A:$N,6,FALSE)*SQRT(AQ43)),0)</f>
        <v>0</v>
      </c>
      <c r="AW43">
        <f t="shared" si="2"/>
        <v>0</v>
      </c>
      <c r="AX43">
        <f t="shared" si="3"/>
        <v>318</v>
      </c>
    </row>
    <row r="44" spans="1:50">
      <c r="A44">
        <v>18</v>
      </c>
      <c r="B44" t="s">
        <v>752</v>
      </c>
      <c r="C44" t="s">
        <v>752</v>
      </c>
      <c r="D44">
        <v>1</v>
      </c>
      <c r="E44">
        <f>E43</f>
        <v>1284</v>
      </c>
      <c r="F44">
        <f t="shared" ref="F44" si="95">F43</f>
        <v>742</v>
      </c>
      <c r="G44">
        <f t="shared" ref="G44" si="96">G43</f>
        <v>18</v>
      </c>
      <c r="H44">
        <f t="shared" ref="H44" si="97">H43</f>
        <v>1</v>
      </c>
      <c r="I44">
        <f t="shared" ref="I44" si="98">I43</f>
        <v>1</v>
      </c>
      <c r="J44">
        <f t="shared" ref="J44" si="99">J43</f>
        <v>9</v>
      </c>
      <c r="K44">
        <v>1</v>
      </c>
      <c r="L44">
        <v>1</v>
      </c>
      <c r="M44">
        <v>30</v>
      </c>
      <c r="N44">
        <v>30</v>
      </c>
      <c r="O44">
        <v>15</v>
      </c>
      <c r="P44">
        <v>19</v>
      </c>
      <c r="Q44">
        <v>33</v>
      </c>
      <c r="R44">
        <v>53</v>
      </c>
      <c r="S44">
        <v>18</v>
      </c>
      <c r="T44">
        <v>31</v>
      </c>
      <c r="U44">
        <f t="shared" si="1"/>
        <v>10</v>
      </c>
      <c r="V44">
        <v>13</v>
      </c>
      <c r="W44">
        <f t="shared" si="1"/>
        <v>1</v>
      </c>
      <c r="X44">
        <v>12</v>
      </c>
      <c r="Y44">
        <f t="shared" si="1"/>
        <v>0</v>
      </c>
      <c r="Z44">
        <v>15</v>
      </c>
      <c r="AA44">
        <v>20</v>
      </c>
      <c r="AB44">
        <v>49</v>
      </c>
      <c r="AC44">
        <v>79</v>
      </c>
      <c r="AD44">
        <v>49</v>
      </c>
      <c r="AE44">
        <v>49</v>
      </c>
      <c r="AF44">
        <v>49</v>
      </c>
      <c r="AG44">
        <v>89</v>
      </c>
      <c r="AH44">
        <v>59</v>
      </c>
      <c r="AI44">
        <v>39</v>
      </c>
      <c r="AJ44">
        <v>3</v>
      </c>
      <c r="AK44">
        <v>13</v>
      </c>
      <c r="AL44">
        <v>0</v>
      </c>
      <c r="AM44">
        <v>-1</v>
      </c>
      <c r="AN44">
        <v>0</v>
      </c>
      <c r="AO44">
        <v>0</v>
      </c>
      <c r="AP44">
        <v>0</v>
      </c>
      <c r="AQ44">
        <v>0</v>
      </c>
      <c r="AR44">
        <f t="shared" si="9"/>
        <v>0</v>
      </c>
      <c r="AS44">
        <f>IF(AND(IFERROR(VLOOKUP(AJ44,Equip!$A:$N,13,FALSE),0)&gt;=5,IFERROR(VLOOKUP(AJ44,Equip!$A:$N,13,FALSE),0)&lt;=9),INT(VLOOKUP(AJ44,Equip!$A:$N,6,FALSE)*SQRT(AN44)),0)</f>
        <v>0</v>
      </c>
      <c r="AT44">
        <f>IF(AND(IFERROR(VLOOKUP(AK44,Equip!$A:$N,13,FALSE),0)&gt;=5,IFERROR(VLOOKUP(AK44,Equip!$A:$N,13,FALSE),0)&lt;=9),INT(VLOOKUP(AK44,Equip!$A:$N,6,FALSE)*SQRT(AO44)),0)</f>
        <v>0</v>
      </c>
      <c r="AU44">
        <f>IF(AND(IFERROR(VLOOKUP(AL44,Equip!$A:$N,13,FALSE),0)&gt;=5,IFERROR(VLOOKUP(AL44,Equip!$A:$N,13,FALSE),0)&lt;=9),INT(VLOOKUP(AL44,Equip!$A:$N,6,FALSE)*SQRT(AP44)),0)</f>
        <v>0</v>
      </c>
      <c r="AV44">
        <f>IF(AND(IFERROR(VLOOKUP(AM44,Equip!$A:$N,13,FALSE),0)&gt;=5,IFERROR(VLOOKUP(AM44,Equip!$A:$N,13,FALSE),0)&lt;=9),INT(VLOOKUP(AM44,Equip!$A:$N,6,FALSE)*SQRT(AQ44)),0)</f>
        <v>0</v>
      </c>
      <c r="AW44">
        <f t="shared" si="2"/>
        <v>0</v>
      </c>
      <c r="AX44">
        <f t="shared" si="3"/>
        <v>443</v>
      </c>
    </row>
    <row r="45" spans="1:50">
      <c r="A45">
        <v>19</v>
      </c>
      <c r="B45" t="s">
        <v>753</v>
      </c>
      <c r="C45" t="s">
        <v>753</v>
      </c>
      <c r="D45">
        <v>0</v>
      </c>
      <c r="E45">
        <v>1600</v>
      </c>
      <c r="F45">
        <v>900</v>
      </c>
      <c r="G45">
        <v>19</v>
      </c>
      <c r="H45">
        <v>1</v>
      </c>
      <c r="I45">
        <v>1</v>
      </c>
      <c r="J45">
        <v>12</v>
      </c>
      <c r="K45">
        <v>2</v>
      </c>
      <c r="L45">
        <v>2</v>
      </c>
      <c r="M45">
        <v>25</v>
      </c>
      <c r="N45">
        <v>25</v>
      </c>
      <c r="O45">
        <v>14</v>
      </c>
      <c r="P45">
        <v>11</v>
      </c>
      <c r="Q45">
        <v>24</v>
      </c>
      <c r="R45">
        <v>37</v>
      </c>
      <c r="S45">
        <v>13</v>
      </c>
      <c r="T45">
        <v>19</v>
      </c>
      <c r="U45">
        <v>10</v>
      </c>
      <c r="V45">
        <v>8</v>
      </c>
      <c r="W45">
        <v>2</v>
      </c>
      <c r="X45">
        <v>17</v>
      </c>
      <c r="Y45">
        <v>0</v>
      </c>
      <c r="Z45">
        <v>25</v>
      </c>
      <c r="AA45">
        <v>25</v>
      </c>
      <c r="AB45">
        <v>49</v>
      </c>
      <c r="AC45">
        <v>89</v>
      </c>
      <c r="AD45">
        <v>59</v>
      </c>
      <c r="AE45">
        <v>29</v>
      </c>
      <c r="AF45">
        <v>49</v>
      </c>
      <c r="AG45">
        <v>77</v>
      </c>
      <c r="AH45">
        <v>59</v>
      </c>
      <c r="AI45">
        <v>39</v>
      </c>
      <c r="AJ45">
        <v>4</v>
      </c>
      <c r="AK45">
        <v>14</v>
      </c>
      <c r="AL45">
        <v>-1</v>
      </c>
      <c r="AM45">
        <v>-1</v>
      </c>
      <c r="AN45">
        <v>0</v>
      </c>
      <c r="AO45">
        <v>0</v>
      </c>
      <c r="AP45">
        <v>0</v>
      </c>
      <c r="AQ45">
        <v>0</v>
      </c>
      <c r="AR45">
        <f t="shared" si="9"/>
        <v>0</v>
      </c>
      <c r="AS45">
        <f>IF(AND(IFERROR(VLOOKUP(AJ45,Equip!$A:$N,13,FALSE),0)&gt;=5,IFERROR(VLOOKUP(AJ45,Equip!$A:$N,13,FALSE),0)&lt;=9),INT(VLOOKUP(AJ45,Equip!$A:$N,6,FALSE)*SQRT(AN45)),0)</f>
        <v>0</v>
      </c>
      <c r="AT45">
        <f>IF(AND(IFERROR(VLOOKUP(AK45,Equip!$A:$N,13,FALSE),0)&gt;=5,IFERROR(VLOOKUP(AK45,Equip!$A:$N,13,FALSE),0)&lt;=9),INT(VLOOKUP(AK45,Equip!$A:$N,6,FALSE)*SQRT(AO45)),0)</f>
        <v>0</v>
      </c>
      <c r="AU45">
        <f>IF(AND(IFERROR(VLOOKUP(AL45,Equip!$A:$N,13,FALSE),0)&gt;=5,IFERROR(VLOOKUP(AL45,Equip!$A:$N,13,FALSE),0)&lt;=9),INT(VLOOKUP(AL45,Equip!$A:$N,6,FALSE)*SQRT(AP45)),0)</f>
        <v>0</v>
      </c>
      <c r="AV45">
        <f>IF(AND(IFERROR(VLOOKUP(AM45,Equip!$A:$N,13,FALSE),0)&gt;=5,IFERROR(VLOOKUP(AM45,Equip!$A:$N,13,FALSE),0)&lt;=9),INT(VLOOKUP(AM45,Equip!$A:$N,6,FALSE)*SQRT(AQ45)),0)</f>
        <v>0</v>
      </c>
      <c r="AW45">
        <f t="shared" si="2"/>
        <v>0</v>
      </c>
      <c r="AX45">
        <f t="shared" si="3"/>
        <v>426</v>
      </c>
    </row>
    <row r="46" spans="1:50">
      <c r="A46">
        <v>19</v>
      </c>
      <c r="B46" t="s">
        <v>753</v>
      </c>
      <c r="C46" t="s">
        <v>753</v>
      </c>
      <c r="D46">
        <v>1</v>
      </c>
      <c r="E46">
        <f t="shared" ref="E46:E47" si="100">E45</f>
        <v>1600</v>
      </c>
      <c r="F46">
        <f t="shared" ref="F46:F47" si="101">F45</f>
        <v>900</v>
      </c>
      <c r="G46">
        <f t="shared" ref="G46:G47" si="102">G45</f>
        <v>19</v>
      </c>
      <c r="H46">
        <f t="shared" ref="H46:H47" si="103">H45</f>
        <v>1</v>
      </c>
      <c r="I46">
        <f t="shared" ref="I46:I47" si="104">I45</f>
        <v>1</v>
      </c>
      <c r="J46">
        <f t="shared" ref="J46:J47" si="105">J45</f>
        <v>12</v>
      </c>
      <c r="K46">
        <v>4</v>
      </c>
      <c r="L46">
        <v>2</v>
      </c>
      <c r="M46">
        <v>32</v>
      </c>
      <c r="N46">
        <v>32</v>
      </c>
      <c r="O46">
        <v>10</v>
      </c>
      <c r="P46">
        <v>14</v>
      </c>
      <c r="Q46">
        <v>80</v>
      </c>
      <c r="R46">
        <v>41</v>
      </c>
      <c r="S46">
        <v>16</v>
      </c>
      <c r="T46">
        <v>28</v>
      </c>
      <c r="U46">
        <f t="shared" si="1"/>
        <v>10</v>
      </c>
      <c r="V46">
        <v>11</v>
      </c>
      <c r="W46">
        <f t="shared" si="1"/>
        <v>2</v>
      </c>
      <c r="X46">
        <v>10</v>
      </c>
      <c r="Y46">
        <f t="shared" si="1"/>
        <v>0</v>
      </c>
      <c r="Z46">
        <v>25</v>
      </c>
      <c r="AA46">
        <v>50</v>
      </c>
      <c r="AB46">
        <v>39</v>
      </c>
      <c r="AC46">
        <v>99</v>
      </c>
      <c r="AD46">
        <v>39</v>
      </c>
      <c r="AE46">
        <v>39</v>
      </c>
      <c r="AF46">
        <v>49</v>
      </c>
      <c r="AG46">
        <v>77</v>
      </c>
      <c r="AH46">
        <v>59</v>
      </c>
      <c r="AI46">
        <v>39</v>
      </c>
      <c r="AJ46">
        <v>15</v>
      </c>
      <c r="AK46">
        <v>15</v>
      </c>
      <c r="AL46">
        <v>-1</v>
      </c>
      <c r="AM46">
        <v>-1</v>
      </c>
      <c r="AN46">
        <v>0</v>
      </c>
      <c r="AO46">
        <v>0</v>
      </c>
      <c r="AP46">
        <v>0</v>
      </c>
      <c r="AQ46">
        <v>0</v>
      </c>
      <c r="AR46">
        <f t="shared" si="9"/>
        <v>0</v>
      </c>
      <c r="AS46">
        <f>IF(AND(IFERROR(VLOOKUP(AJ46,Equip!$A:$N,13,FALSE),0)&gt;=5,IFERROR(VLOOKUP(AJ46,Equip!$A:$N,13,FALSE),0)&lt;=9),INT(VLOOKUP(AJ46,Equip!$A:$N,6,FALSE)*SQRT(AN46)),0)</f>
        <v>0</v>
      </c>
      <c r="AT46">
        <f>IF(AND(IFERROR(VLOOKUP(AK46,Equip!$A:$N,13,FALSE),0)&gt;=5,IFERROR(VLOOKUP(AK46,Equip!$A:$N,13,FALSE),0)&lt;=9),INT(VLOOKUP(AK46,Equip!$A:$N,6,FALSE)*SQRT(AO46)),0)</f>
        <v>0</v>
      </c>
      <c r="AU46">
        <f>IF(AND(IFERROR(VLOOKUP(AL46,Equip!$A:$N,13,FALSE),0)&gt;=5,IFERROR(VLOOKUP(AL46,Equip!$A:$N,13,FALSE),0)&lt;=9),INT(VLOOKUP(AL46,Equip!$A:$N,6,FALSE)*SQRT(AP46)),0)</f>
        <v>0</v>
      </c>
      <c r="AV46">
        <f>IF(AND(IFERROR(VLOOKUP(AM46,Equip!$A:$N,13,FALSE),0)&gt;=5,IFERROR(VLOOKUP(AM46,Equip!$A:$N,13,FALSE),0)&lt;=9),INT(VLOOKUP(AM46,Equip!$A:$N,6,FALSE)*SQRT(AQ46)),0)</f>
        <v>0</v>
      </c>
      <c r="AW46">
        <f t="shared" si="2"/>
        <v>0</v>
      </c>
      <c r="AX46">
        <f t="shared" si="3"/>
        <v>423</v>
      </c>
    </row>
    <row r="47" spans="1:50">
      <c r="A47">
        <v>19</v>
      </c>
      <c r="B47" t="s">
        <v>753</v>
      </c>
      <c r="C47" t="s">
        <v>753</v>
      </c>
      <c r="D47">
        <v>2</v>
      </c>
      <c r="E47">
        <f t="shared" si="100"/>
        <v>1600</v>
      </c>
      <c r="F47">
        <f t="shared" si="101"/>
        <v>900</v>
      </c>
      <c r="G47">
        <f t="shared" si="102"/>
        <v>19</v>
      </c>
      <c r="H47">
        <f t="shared" si="103"/>
        <v>1</v>
      </c>
      <c r="I47">
        <f t="shared" si="104"/>
        <v>1</v>
      </c>
      <c r="J47">
        <f t="shared" si="105"/>
        <v>12</v>
      </c>
      <c r="K47">
        <v>4</v>
      </c>
      <c r="L47">
        <v>2</v>
      </c>
      <c r="M47">
        <v>43</v>
      </c>
      <c r="N47">
        <v>43</v>
      </c>
      <c r="O47">
        <v>36</v>
      </c>
      <c r="P47">
        <v>32</v>
      </c>
      <c r="Q47">
        <v>100</v>
      </c>
      <c r="R47">
        <v>63</v>
      </c>
      <c r="S47">
        <v>29</v>
      </c>
      <c r="T47">
        <v>53</v>
      </c>
      <c r="U47">
        <f t="shared" si="1"/>
        <v>10</v>
      </c>
      <c r="V47">
        <v>26</v>
      </c>
      <c r="W47">
        <f t="shared" si="1"/>
        <v>2</v>
      </c>
      <c r="X47">
        <v>13</v>
      </c>
      <c r="Y47">
        <f t="shared" si="1"/>
        <v>0</v>
      </c>
      <c r="Z47">
        <v>25</v>
      </c>
      <c r="AA47">
        <v>75</v>
      </c>
      <c r="AB47">
        <v>63</v>
      </c>
      <c r="AC47">
        <v>139</v>
      </c>
      <c r="AD47">
        <v>49</v>
      </c>
      <c r="AE47">
        <v>63</v>
      </c>
      <c r="AF47">
        <v>49</v>
      </c>
      <c r="AG47">
        <v>83</v>
      </c>
      <c r="AH47">
        <v>79</v>
      </c>
      <c r="AI47">
        <v>43</v>
      </c>
      <c r="AJ47">
        <v>10</v>
      </c>
      <c r="AK47">
        <v>58</v>
      </c>
      <c r="AL47">
        <v>30</v>
      </c>
      <c r="AM47">
        <v>-1</v>
      </c>
      <c r="AN47">
        <v>0</v>
      </c>
      <c r="AO47">
        <v>0</v>
      </c>
      <c r="AP47">
        <v>0</v>
      </c>
      <c r="AQ47">
        <v>0</v>
      </c>
      <c r="AR47">
        <f t="shared" si="9"/>
        <v>0</v>
      </c>
      <c r="AS47">
        <f>IF(AND(IFERROR(VLOOKUP(AJ47,Equip!$A:$N,13,FALSE),0)&gt;=5,IFERROR(VLOOKUP(AJ47,Equip!$A:$N,13,FALSE),0)&lt;=9),INT(VLOOKUP(AJ47,Equip!$A:$N,6,FALSE)*SQRT(AN47)),0)</f>
        <v>0</v>
      </c>
      <c r="AT47">
        <f>IF(AND(IFERROR(VLOOKUP(AK47,Equip!$A:$N,13,FALSE),0)&gt;=5,IFERROR(VLOOKUP(AK47,Equip!$A:$N,13,FALSE),0)&lt;=9),INT(VLOOKUP(AK47,Equip!$A:$N,6,FALSE)*SQRT(AO47)),0)</f>
        <v>0</v>
      </c>
      <c r="AU47">
        <f>IF(AND(IFERROR(VLOOKUP(AL47,Equip!$A:$N,13,FALSE),0)&gt;=5,IFERROR(VLOOKUP(AL47,Equip!$A:$N,13,FALSE),0)&lt;=9),INT(VLOOKUP(AL47,Equip!$A:$N,6,FALSE)*SQRT(AP47)),0)</f>
        <v>0</v>
      </c>
      <c r="AV47">
        <f>IF(AND(IFERROR(VLOOKUP(AM47,Equip!$A:$N,13,FALSE),0)&gt;=5,IFERROR(VLOOKUP(AM47,Equip!$A:$N,13,FALSE),0)&lt;=9),INT(VLOOKUP(AM47,Equip!$A:$N,6,FALSE)*SQRT(AQ47)),0)</f>
        <v>0</v>
      </c>
      <c r="AW47">
        <f t="shared" si="2"/>
        <v>0</v>
      </c>
      <c r="AX47">
        <f t="shared" si="3"/>
        <v>562</v>
      </c>
    </row>
    <row r="48" spans="1:50">
      <c r="A48">
        <v>20</v>
      </c>
      <c r="B48" t="s">
        <v>754</v>
      </c>
      <c r="C48" t="s">
        <v>754</v>
      </c>
      <c r="D48">
        <v>0</v>
      </c>
      <c r="E48">
        <v>1600</v>
      </c>
      <c r="F48">
        <v>900</v>
      </c>
      <c r="G48">
        <v>20</v>
      </c>
      <c r="H48">
        <v>1</v>
      </c>
      <c r="I48">
        <v>1</v>
      </c>
      <c r="J48">
        <v>0</v>
      </c>
      <c r="K48">
        <v>2</v>
      </c>
      <c r="L48">
        <v>2</v>
      </c>
      <c r="M48">
        <v>25</v>
      </c>
      <c r="N48">
        <v>25</v>
      </c>
      <c r="O48">
        <v>14</v>
      </c>
      <c r="P48">
        <v>10</v>
      </c>
      <c r="Q48">
        <v>24</v>
      </c>
      <c r="R48">
        <v>36</v>
      </c>
      <c r="S48">
        <v>12</v>
      </c>
      <c r="T48">
        <v>19</v>
      </c>
      <c r="U48">
        <v>10</v>
      </c>
      <c r="V48">
        <v>8</v>
      </c>
      <c r="W48">
        <v>2</v>
      </c>
      <c r="X48">
        <v>15</v>
      </c>
      <c r="Y48">
        <v>0</v>
      </c>
      <c r="Z48">
        <v>25</v>
      </c>
      <c r="AA48">
        <v>25</v>
      </c>
      <c r="AB48">
        <v>39</v>
      </c>
      <c r="AC48">
        <v>79</v>
      </c>
      <c r="AD48">
        <v>49</v>
      </c>
      <c r="AE48">
        <v>29</v>
      </c>
      <c r="AF48">
        <v>69</v>
      </c>
      <c r="AG48">
        <v>69</v>
      </c>
      <c r="AH48">
        <v>59</v>
      </c>
      <c r="AI48">
        <v>39</v>
      </c>
      <c r="AJ48">
        <v>4</v>
      </c>
      <c r="AK48">
        <v>14</v>
      </c>
      <c r="AL48">
        <v>-1</v>
      </c>
      <c r="AM48">
        <v>-1</v>
      </c>
      <c r="AN48">
        <v>0</v>
      </c>
      <c r="AO48">
        <v>0</v>
      </c>
      <c r="AP48">
        <v>0</v>
      </c>
      <c r="AQ48">
        <v>0</v>
      </c>
      <c r="AR48">
        <f t="shared" si="9"/>
        <v>0</v>
      </c>
      <c r="AS48">
        <f>IF(AND(IFERROR(VLOOKUP(AJ48,Equip!$A:$N,13,FALSE),0)&gt;=5,IFERROR(VLOOKUP(AJ48,Equip!$A:$N,13,FALSE),0)&lt;=9),INT(VLOOKUP(AJ48,Equip!$A:$N,6,FALSE)*SQRT(AN48)),0)</f>
        <v>0</v>
      </c>
      <c r="AT48">
        <f>IF(AND(IFERROR(VLOOKUP(AK48,Equip!$A:$N,13,FALSE),0)&gt;=5,IFERROR(VLOOKUP(AK48,Equip!$A:$N,13,FALSE),0)&lt;=9),INT(VLOOKUP(AK48,Equip!$A:$N,6,FALSE)*SQRT(AO48)),0)</f>
        <v>0</v>
      </c>
      <c r="AU48">
        <f>IF(AND(IFERROR(VLOOKUP(AL48,Equip!$A:$N,13,FALSE),0)&gt;=5,IFERROR(VLOOKUP(AL48,Equip!$A:$N,13,FALSE),0)&lt;=9),INT(VLOOKUP(AL48,Equip!$A:$N,6,FALSE)*SQRT(AP48)),0)</f>
        <v>0</v>
      </c>
      <c r="AV48">
        <f>IF(AND(IFERROR(VLOOKUP(AM48,Equip!$A:$N,13,FALSE),0)&gt;=5,IFERROR(VLOOKUP(AM48,Equip!$A:$N,13,FALSE),0)&lt;=9),INT(VLOOKUP(AM48,Equip!$A:$N,6,FALSE)*SQRT(AQ48)),0)</f>
        <v>0</v>
      </c>
      <c r="AW48">
        <f t="shared" si="2"/>
        <v>0</v>
      </c>
      <c r="AX48">
        <f t="shared" si="3"/>
        <v>388</v>
      </c>
    </row>
    <row r="49" spans="1:50">
      <c r="A49">
        <v>20</v>
      </c>
      <c r="B49" t="s">
        <v>754</v>
      </c>
      <c r="C49" t="s">
        <v>754</v>
      </c>
      <c r="D49">
        <v>1</v>
      </c>
      <c r="E49">
        <f t="shared" ref="E49:E50" si="106">E48</f>
        <v>1600</v>
      </c>
      <c r="F49">
        <f t="shared" ref="F49:F50" si="107">F48</f>
        <v>900</v>
      </c>
      <c r="G49">
        <f t="shared" ref="G49:G50" si="108">G48</f>
        <v>20</v>
      </c>
      <c r="H49">
        <f t="shared" ref="H49:H50" si="109">H48</f>
        <v>1</v>
      </c>
      <c r="I49">
        <f t="shared" ref="I49:I50" si="110">I48</f>
        <v>1</v>
      </c>
      <c r="J49">
        <f t="shared" ref="J49:J50" si="111">J48</f>
        <v>0</v>
      </c>
      <c r="K49">
        <v>4</v>
      </c>
      <c r="L49">
        <v>2</v>
      </c>
      <c r="M49">
        <v>32</v>
      </c>
      <c r="N49">
        <v>32</v>
      </c>
      <c r="O49">
        <v>10</v>
      </c>
      <c r="P49">
        <v>14</v>
      </c>
      <c r="Q49">
        <v>80</v>
      </c>
      <c r="R49">
        <v>41</v>
      </c>
      <c r="S49">
        <v>16</v>
      </c>
      <c r="T49">
        <v>28</v>
      </c>
      <c r="U49">
        <f t="shared" si="1"/>
        <v>10</v>
      </c>
      <c r="V49">
        <v>11</v>
      </c>
      <c r="W49">
        <f t="shared" si="1"/>
        <v>2</v>
      </c>
      <c r="X49">
        <v>15</v>
      </c>
      <c r="Y49">
        <f t="shared" si="1"/>
        <v>0</v>
      </c>
      <c r="Z49">
        <v>25</v>
      </c>
      <c r="AA49">
        <v>50</v>
      </c>
      <c r="AB49">
        <v>39</v>
      </c>
      <c r="AC49">
        <v>99</v>
      </c>
      <c r="AD49">
        <v>39</v>
      </c>
      <c r="AE49">
        <v>39</v>
      </c>
      <c r="AF49">
        <v>69</v>
      </c>
      <c r="AG49">
        <v>77</v>
      </c>
      <c r="AH49">
        <v>59</v>
      </c>
      <c r="AI49">
        <v>39</v>
      </c>
      <c r="AJ49">
        <v>15</v>
      </c>
      <c r="AK49">
        <v>15</v>
      </c>
      <c r="AL49">
        <v>-1</v>
      </c>
      <c r="AM49">
        <v>-1</v>
      </c>
      <c r="AN49">
        <v>0</v>
      </c>
      <c r="AO49">
        <v>0</v>
      </c>
      <c r="AP49">
        <v>0</v>
      </c>
      <c r="AQ49">
        <v>0</v>
      </c>
      <c r="AR49">
        <f t="shared" si="9"/>
        <v>0</v>
      </c>
      <c r="AS49">
        <f>IF(AND(IFERROR(VLOOKUP(AJ49,Equip!$A:$N,13,FALSE),0)&gt;=5,IFERROR(VLOOKUP(AJ49,Equip!$A:$N,13,FALSE),0)&lt;=9),INT(VLOOKUP(AJ49,Equip!$A:$N,6,FALSE)*SQRT(AN49)),0)</f>
        <v>0</v>
      </c>
      <c r="AT49">
        <f>IF(AND(IFERROR(VLOOKUP(AK49,Equip!$A:$N,13,FALSE),0)&gt;=5,IFERROR(VLOOKUP(AK49,Equip!$A:$N,13,FALSE),0)&lt;=9),INT(VLOOKUP(AK49,Equip!$A:$N,6,FALSE)*SQRT(AO49)),0)</f>
        <v>0</v>
      </c>
      <c r="AU49">
        <f>IF(AND(IFERROR(VLOOKUP(AL49,Equip!$A:$N,13,FALSE),0)&gt;=5,IFERROR(VLOOKUP(AL49,Equip!$A:$N,13,FALSE),0)&lt;=9),INT(VLOOKUP(AL49,Equip!$A:$N,6,FALSE)*SQRT(AP49)),0)</f>
        <v>0</v>
      </c>
      <c r="AV49">
        <f>IF(AND(IFERROR(VLOOKUP(AM49,Equip!$A:$N,13,FALSE),0)&gt;=5,IFERROR(VLOOKUP(AM49,Equip!$A:$N,13,FALSE),0)&lt;=9),INT(VLOOKUP(AM49,Equip!$A:$N,6,FALSE)*SQRT(AQ49)),0)</f>
        <v>0</v>
      </c>
      <c r="AW49">
        <f t="shared" si="2"/>
        <v>0</v>
      </c>
      <c r="AX49">
        <f t="shared" si="3"/>
        <v>423</v>
      </c>
    </row>
    <row r="50" spans="1:50">
      <c r="A50">
        <v>20</v>
      </c>
      <c r="B50" t="s">
        <v>754</v>
      </c>
      <c r="C50" t="s">
        <v>754</v>
      </c>
      <c r="D50">
        <v>2</v>
      </c>
      <c r="E50">
        <f t="shared" si="106"/>
        <v>1600</v>
      </c>
      <c r="F50">
        <f t="shared" si="107"/>
        <v>900</v>
      </c>
      <c r="G50">
        <f t="shared" si="108"/>
        <v>20</v>
      </c>
      <c r="H50">
        <f t="shared" si="109"/>
        <v>1</v>
      </c>
      <c r="I50">
        <f t="shared" si="110"/>
        <v>1</v>
      </c>
      <c r="J50">
        <f t="shared" si="111"/>
        <v>0</v>
      </c>
      <c r="K50">
        <v>4</v>
      </c>
      <c r="L50">
        <v>2</v>
      </c>
      <c r="M50">
        <v>43</v>
      </c>
      <c r="N50">
        <v>43</v>
      </c>
      <c r="O50">
        <v>27</v>
      </c>
      <c r="P50">
        <v>40</v>
      </c>
      <c r="Q50">
        <v>110</v>
      </c>
      <c r="R50">
        <v>63</v>
      </c>
      <c r="S50">
        <v>29</v>
      </c>
      <c r="T50">
        <v>53</v>
      </c>
      <c r="U50">
        <f t="shared" si="1"/>
        <v>10</v>
      </c>
      <c r="V50">
        <v>26</v>
      </c>
      <c r="W50">
        <f t="shared" si="1"/>
        <v>2</v>
      </c>
      <c r="X50">
        <v>30</v>
      </c>
      <c r="Y50">
        <f t="shared" si="1"/>
        <v>0</v>
      </c>
      <c r="Z50">
        <v>25</v>
      </c>
      <c r="AA50">
        <v>75</v>
      </c>
      <c r="AB50">
        <v>63</v>
      </c>
      <c r="AC50">
        <v>139</v>
      </c>
      <c r="AD50">
        <v>49</v>
      </c>
      <c r="AE50">
        <v>63</v>
      </c>
      <c r="AF50">
        <v>79</v>
      </c>
      <c r="AG50">
        <v>83</v>
      </c>
      <c r="AH50">
        <v>79</v>
      </c>
      <c r="AI50">
        <v>43</v>
      </c>
      <c r="AJ50">
        <v>10</v>
      </c>
      <c r="AK50">
        <v>58</v>
      </c>
      <c r="AL50">
        <v>30</v>
      </c>
      <c r="AM50">
        <v>-1</v>
      </c>
      <c r="AN50">
        <v>0</v>
      </c>
      <c r="AO50">
        <v>0</v>
      </c>
      <c r="AP50">
        <v>0</v>
      </c>
      <c r="AQ50">
        <v>0</v>
      </c>
      <c r="AR50">
        <f t="shared" si="9"/>
        <v>0</v>
      </c>
      <c r="AS50">
        <f>IF(AND(IFERROR(VLOOKUP(AJ50,Equip!$A:$N,13,FALSE),0)&gt;=5,IFERROR(VLOOKUP(AJ50,Equip!$A:$N,13,FALSE),0)&lt;=9),INT(VLOOKUP(AJ50,Equip!$A:$N,6,FALSE)*SQRT(AN50)),0)</f>
        <v>0</v>
      </c>
      <c r="AT50">
        <f>IF(AND(IFERROR(VLOOKUP(AK50,Equip!$A:$N,13,FALSE),0)&gt;=5,IFERROR(VLOOKUP(AK50,Equip!$A:$N,13,FALSE),0)&lt;=9),INT(VLOOKUP(AK50,Equip!$A:$N,6,FALSE)*SQRT(AO50)),0)</f>
        <v>0</v>
      </c>
      <c r="AU50">
        <f>IF(AND(IFERROR(VLOOKUP(AL50,Equip!$A:$N,13,FALSE),0)&gt;=5,IFERROR(VLOOKUP(AL50,Equip!$A:$N,13,FALSE),0)&lt;=9),INT(VLOOKUP(AL50,Equip!$A:$N,6,FALSE)*SQRT(AP50)),0)</f>
        <v>0</v>
      </c>
      <c r="AV50">
        <f>IF(AND(IFERROR(VLOOKUP(AM50,Equip!$A:$N,13,FALSE),0)&gt;=5,IFERROR(VLOOKUP(AM50,Equip!$A:$N,13,FALSE),0)&lt;=9),INT(VLOOKUP(AM50,Equip!$A:$N,6,FALSE)*SQRT(AQ50)),0)</f>
        <v>0</v>
      </c>
      <c r="AW50">
        <f t="shared" si="2"/>
        <v>0</v>
      </c>
      <c r="AX50">
        <f t="shared" si="3"/>
        <v>562</v>
      </c>
    </row>
    <row r="51" spans="1:50">
      <c r="A51">
        <v>21</v>
      </c>
      <c r="B51" t="s">
        <v>755</v>
      </c>
      <c r="C51" t="s">
        <v>755</v>
      </c>
      <c r="D51">
        <v>0</v>
      </c>
      <c r="E51">
        <v>2422</v>
      </c>
      <c r="F51">
        <v>1311</v>
      </c>
      <c r="G51">
        <v>21</v>
      </c>
      <c r="H51">
        <v>2</v>
      </c>
      <c r="I51">
        <v>1</v>
      </c>
      <c r="J51">
        <v>8</v>
      </c>
      <c r="K51">
        <v>8</v>
      </c>
      <c r="L51">
        <v>7</v>
      </c>
      <c r="M51">
        <v>63</v>
      </c>
      <c r="N51">
        <v>63</v>
      </c>
      <c r="O51">
        <v>63</v>
      </c>
      <c r="P51">
        <v>52</v>
      </c>
      <c r="Q51">
        <v>0</v>
      </c>
      <c r="R51">
        <v>30</v>
      </c>
      <c r="S51">
        <v>24</v>
      </c>
      <c r="T51">
        <v>0</v>
      </c>
      <c r="U51">
        <v>10</v>
      </c>
      <c r="V51">
        <v>13</v>
      </c>
      <c r="W51">
        <v>3</v>
      </c>
      <c r="X51">
        <v>12</v>
      </c>
      <c r="Y51">
        <v>0</v>
      </c>
      <c r="Z51">
        <v>80</v>
      </c>
      <c r="AA51">
        <v>110</v>
      </c>
      <c r="AB51">
        <v>89</v>
      </c>
      <c r="AC51">
        <v>0</v>
      </c>
      <c r="AD51">
        <v>69</v>
      </c>
      <c r="AE51">
        <v>69</v>
      </c>
      <c r="AF51">
        <v>49</v>
      </c>
      <c r="AG51">
        <v>59</v>
      </c>
      <c r="AH51">
        <v>0</v>
      </c>
      <c r="AI51">
        <v>39</v>
      </c>
      <c r="AJ51">
        <v>7</v>
      </c>
      <c r="AK51">
        <v>11</v>
      </c>
      <c r="AL51">
        <v>37</v>
      </c>
      <c r="AM51">
        <v>-1</v>
      </c>
      <c r="AN51">
        <v>3</v>
      </c>
      <c r="AO51">
        <v>3</v>
      </c>
      <c r="AP51">
        <v>3</v>
      </c>
      <c r="AQ51">
        <v>0</v>
      </c>
      <c r="AR51">
        <f t="shared" si="9"/>
        <v>9</v>
      </c>
      <c r="AS51">
        <f>IF(AND(IFERROR(VLOOKUP(AJ51,Equip!$A:$N,13,FALSE),0)&gt;=5,IFERROR(VLOOKUP(AJ51,Equip!$A:$N,13,FALSE),0)&lt;=9),INT(VLOOKUP(AJ51,Equip!$A:$N,6,FALSE)*SQRT(AN51)),0)</f>
        <v>0</v>
      </c>
      <c r="AT51">
        <f>IF(AND(IFERROR(VLOOKUP(AK51,Equip!$A:$N,13,FALSE),0)&gt;=5,IFERROR(VLOOKUP(AK51,Equip!$A:$N,13,FALSE),0)&lt;=9),INT(VLOOKUP(AK51,Equip!$A:$N,6,FALSE)*SQRT(AO51)),0)</f>
        <v>0</v>
      </c>
      <c r="AU51">
        <f>IF(AND(IFERROR(VLOOKUP(AL51,Equip!$A:$N,13,FALSE),0)&gt;=5,IFERROR(VLOOKUP(AL51,Equip!$A:$N,13,FALSE),0)&lt;=9),INT(VLOOKUP(AL51,Equip!$A:$N,6,FALSE)*SQRT(AP51)),0)</f>
        <v>0</v>
      </c>
      <c r="AV51">
        <f>IF(AND(IFERROR(VLOOKUP(AM51,Equip!$A:$N,13,FALSE),0)&gt;=5,IFERROR(VLOOKUP(AM51,Equip!$A:$N,13,FALSE),0)&lt;=9),INT(VLOOKUP(AM51,Equip!$A:$N,6,FALSE)*SQRT(AQ51)),0)</f>
        <v>0</v>
      </c>
      <c r="AW51">
        <f t="shared" si="2"/>
        <v>0</v>
      </c>
      <c r="AX51">
        <f t="shared" si="3"/>
        <v>388</v>
      </c>
    </row>
    <row r="52" spans="1:50">
      <c r="A52">
        <v>21</v>
      </c>
      <c r="B52" t="s">
        <v>755</v>
      </c>
      <c r="C52" t="s">
        <v>755</v>
      </c>
      <c r="D52">
        <v>1</v>
      </c>
      <c r="E52">
        <f t="shared" ref="E52:E53" si="112">E51</f>
        <v>2422</v>
      </c>
      <c r="F52">
        <f t="shared" ref="F52:F53" si="113">F51</f>
        <v>1311</v>
      </c>
      <c r="G52">
        <f t="shared" ref="G52:G53" si="114">G51</f>
        <v>21</v>
      </c>
      <c r="H52">
        <f t="shared" ref="H52:H53" si="115">H51</f>
        <v>2</v>
      </c>
      <c r="I52">
        <f t="shared" ref="I52:I53" si="116">I51</f>
        <v>1</v>
      </c>
      <c r="J52">
        <f t="shared" ref="J52:J53" si="117">J51</f>
        <v>8</v>
      </c>
      <c r="K52">
        <v>8</v>
      </c>
      <c r="L52">
        <v>7</v>
      </c>
      <c r="M52">
        <v>75</v>
      </c>
      <c r="N52">
        <v>75</v>
      </c>
      <c r="O52">
        <v>77</v>
      </c>
      <c r="P52">
        <v>70</v>
      </c>
      <c r="Q52">
        <v>0</v>
      </c>
      <c r="R52">
        <v>43</v>
      </c>
      <c r="S52">
        <v>39</v>
      </c>
      <c r="T52">
        <v>0</v>
      </c>
      <c r="U52">
        <f t="shared" si="1"/>
        <v>10</v>
      </c>
      <c r="V52">
        <v>23</v>
      </c>
      <c r="W52">
        <f t="shared" si="1"/>
        <v>3</v>
      </c>
      <c r="X52">
        <v>12</v>
      </c>
      <c r="Y52">
        <f t="shared" si="1"/>
        <v>0</v>
      </c>
      <c r="Z52">
        <v>90</v>
      </c>
      <c r="AA52">
        <v>120</v>
      </c>
      <c r="AB52">
        <v>94</v>
      </c>
      <c r="AC52">
        <v>0</v>
      </c>
      <c r="AD52">
        <v>79</v>
      </c>
      <c r="AE52">
        <v>89</v>
      </c>
      <c r="AF52">
        <v>69</v>
      </c>
      <c r="AG52">
        <v>69</v>
      </c>
      <c r="AH52">
        <v>0</v>
      </c>
      <c r="AI52">
        <v>49</v>
      </c>
      <c r="AJ52">
        <v>8</v>
      </c>
      <c r="AK52">
        <v>12</v>
      </c>
      <c r="AL52">
        <v>10</v>
      </c>
      <c r="AM52">
        <v>0</v>
      </c>
      <c r="AN52">
        <v>3</v>
      </c>
      <c r="AO52">
        <v>3</v>
      </c>
      <c r="AP52">
        <v>3</v>
      </c>
      <c r="AQ52">
        <v>3</v>
      </c>
      <c r="AR52">
        <f t="shared" si="9"/>
        <v>12</v>
      </c>
      <c r="AS52">
        <f>IF(AND(IFERROR(VLOOKUP(AJ52,Equip!$A:$N,13,FALSE),0)&gt;=5,IFERROR(VLOOKUP(AJ52,Equip!$A:$N,13,FALSE),0)&lt;=9),INT(VLOOKUP(AJ52,Equip!$A:$N,6,FALSE)*SQRT(AN52)),0)</f>
        <v>0</v>
      </c>
      <c r="AT52">
        <f>IF(AND(IFERROR(VLOOKUP(AK52,Equip!$A:$N,13,FALSE),0)&gt;=5,IFERROR(VLOOKUP(AK52,Equip!$A:$N,13,FALSE),0)&lt;=9),INT(VLOOKUP(AK52,Equip!$A:$N,6,FALSE)*SQRT(AO52)),0)</f>
        <v>0</v>
      </c>
      <c r="AU52">
        <f>IF(AND(IFERROR(VLOOKUP(AL52,Equip!$A:$N,13,FALSE),0)&gt;=5,IFERROR(VLOOKUP(AL52,Equip!$A:$N,13,FALSE),0)&lt;=9),INT(VLOOKUP(AL52,Equip!$A:$N,6,FALSE)*SQRT(AP52)),0)</f>
        <v>0</v>
      </c>
      <c r="AV52">
        <f>IF(AND(IFERROR(VLOOKUP(AM52,Equip!$A:$N,13,FALSE),0)&gt;=5,IFERROR(VLOOKUP(AM52,Equip!$A:$N,13,FALSE),0)&lt;=9),INT(VLOOKUP(AM52,Equip!$A:$N,6,FALSE)*SQRT(AQ52)),0)</f>
        <v>0</v>
      </c>
      <c r="AW52">
        <f t="shared" si="2"/>
        <v>0</v>
      </c>
      <c r="AX52">
        <f t="shared" si="3"/>
        <v>455</v>
      </c>
    </row>
    <row r="53" spans="1:50">
      <c r="A53">
        <v>21</v>
      </c>
      <c r="B53" t="s">
        <v>755</v>
      </c>
      <c r="C53" t="s">
        <v>755</v>
      </c>
      <c r="D53">
        <v>2</v>
      </c>
      <c r="E53">
        <f t="shared" si="112"/>
        <v>2422</v>
      </c>
      <c r="F53">
        <f t="shared" si="113"/>
        <v>1311</v>
      </c>
      <c r="G53">
        <f t="shared" si="114"/>
        <v>21</v>
      </c>
      <c r="H53">
        <f t="shared" si="115"/>
        <v>2</v>
      </c>
      <c r="I53">
        <f t="shared" si="116"/>
        <v>1</v>
      </c>
      <c r="J53">
        <f t="shared" si="117"/>
        <v>8</v>
      </c>
      <c r="K53">
        <v>8</v>
      </c>
      <c r="L53">
        <v>7</v>
      </c>
      <c r="M53">
        <v>82</v>
      </c>
      <c r="N53">
        <v>82</v>
      </c>
      <c r="O53">
        <v>90</v>
      </c>
      <c r="P53">
        <v>85</v>
      </c>
      <c r="Q53">
        <v>0</v>
      </c>
      <c r="R53">
        <v>63</v>
      </c>
      <c r="S53">
        <v>47</v>
      </c>
      <c r="T53">
        <v>0</v>
      </c>
      <c r="U53">
        <f t="shared" si="1"/>
        <v>10</v>
      </c>
      <c r="V53">
        <v>41</v>
      </c>
      <c r="W53">
        <f t="shared" si="1"/>
        <v>3</v>
      </c>
      <c r="X53">
        <v>15</v>
      </c>
      <c r="Y53">
        <f t="shared" si="1"/>
        <v>0</v>
      </c>
      <c r="Z53">
        <v>100</v>
      </c>
      <c r="AA53">
        <v>125</v>
      </c>
      <c r="AB53">
        <v>98</v>
      </c>
      <c r="AC53">
        <v>0</v>
      </c>
      <c r="AD53">
        <v>84</v>
      </c>
      <c r="AE53">
        <v>94</v>
      </c>
      <c r="AF53">
        <v>79</v>
      </c>
      <c r="AG53">
        <v>72</v>
      </c>
      <c r="AH53">
        <v>0</v>
      </c>
      <c r="AI53">
        <v>49</v>
      </c>
      <c r="AJ53">
        <v>8</v>
      </c>
      <c r="AK53">
        <v>30</v>
      </c>
      <c r="AL53">
        <v>28</v>
      </c>
      <c r="AM53">
        <v>0</v>
      </c>
      <c r="AN53">
        <v>3</v>
      </c>
      <c r="AO53">
        <v>3</v>
      </c>
      <c r="AP53">
        <v>3</v>
      </c>
      <c r="AQ53">
        <v>3</v>
      </c>
      <c r="AR53">
        <f t="shared" si="9"/>
        <v>12</v>
      </c>
      <c r="AS53">
        <f>IF(AND(IFERROR(VLOOKUP(AJ53,Equip!$A:$N,13,FALSE),0)&gt;=5,IFERROR(VLOOKUP(AJ53,Equip!$A:$N,13,FALSE),0)&lt;=9),INT(VLOOKUP(AJ53,Equip!$A:$N,6,FALSE)*SQRT(AN53)),0)</f>
        <v>0</v>
      </c>
      <c r="AT53">
        <f>IF(AND(IFERROR(VLOOKUP(AK53,Equip!$A:$N,13,FALSE),0)&gt;=5,IFERROR(VLOOKUP(AK53,Equip!$A:$N,13,FALSE),0)&lt;=9),INT(VLOOKUP(AK53,Equip!$A:$N,6,FALSE)*SQRT(AO53)),0)</f>
        <v>0</v>
      </c>
      <c r="AU53">
        <f>IF(AND(IFERROR(VLOOKUP(AL53,Equip!$A:$N,13,FALSE),0)&gt;=5,IFERROR(VLOOKUP(AL53,Equip!$A:$N,13,FALSE),0)&lt;=9),INT(VLOOKUP(AL53,Equip!$A:$N,6,FALSE)*SQRT(AP53)),0)</f>
        <v>0</v>
      </c>
      <c r="AV53">
        <f>IF(AND(IFERROR(VLOOKUP(AM53,Equip!$A:$N,13,FALSE),0)&gt;=5,IFERROR(VLOOKUP(AM53,Equip!$A:$N,13,FALSE),0)&lt;=9),INT(VLOOKUP(AM53,Equip!$A:$N,6,FALSE)*SQRT(AQ53)),0)</f>
        <v>0</v>
      </c>
      <c r="AW53">
        <f t="shared" si="2"/>
        <v>0</v>
      </c>
      <c r="AX53">
        <f t="shared" si="3"/>
        <v>479</v>
      </c>
    </row>
    <row r="54" spans="1:50">
      <c r="A54">
        <v>22</v>
      </c>
      <c r="B54" t="s">
        <v>756</v>
      </c>
      <c r="C54" t="s">
        <v>756</v>
      </c>
      <c r="D54">
        <v>0</v>
      </c>
      <c r="E54">
        <v>2422</v>
      </c>
      <c r="F54">
        <v>1311</v>
      </c>
      <c r="G54">
        <v>22</v>
      </c>
      <c r="H54">
        <v>2</v>
      </c>
      <c r="I54">
        <v>1</v>
      </c>
      <c r="J54">
        <v>4</v>
      </c>
      <c r="K54">
        <v>8</v>
      </c>
      <c r="L54">
        <v>7</v>
      </c>
      <c r="M54">
        <v>63</v>
      </c>
      <c r="N54">
        <v>63</v>
      </c>
      <c r="O54">
        <v>63</v>
      </c>
      <c r="P54">
        <v>52</v>
      </c>
      <c r="Q54">
        <v>0</v>
      </c>
      <c r="R54">
        <v>30</v>
      </c>
      <c r="S54">
        <v>24</v>
      </c>
      <c r="T54">
        <v>0</v>
      </c>
      <c r="U54">
        <v>10</v>
      </c>
      <c r="V54">
        <v>13</v>
      </c>
      <c r="W54">
        <v>3</v>
      </c>
      <c r="X54">
        <v>10</v>
      </c>
      <c r="Y54">
        <v>0</v>
      </c>
      <c r="Z54">
        <v>80</v>
      </c>
      <c r="AA54">
        <v>110</v>
      </c>
      <c r="AB54">
        <v>89</v>
      </c>
      <c r="AC54">
        <v>0</v>
      </c>
      <c r="AD54">
        <v>69</v>
      </c>
      <c r="AE54">
        <v>69</v>
      </c>
      <c r="AF54">
        <v>49</v>
      </c>
      <c r="AG54">
        <v>59</v>
      </c>
      <c r="AH54">
        <v>0</v>
      </c>
      <c r="AI54">
        <v>39</v>
      </c>
      <c r="AJ54">
        <v>7</v>
      </c>
      <c r="AK54">
        <v>11</v>
      </c>
      <c r="AL54">
        <v>37</v>
      </c>
      <c r="AM54">
        <v>-1</v>
      </c>
      <c r="AN54">
        <v>3</v>
      </c>
      <c r="AO54">
        <v>3</v>
      </c>
      <c r="AP54">
        <v>3</v>
      </c>
      <c r="AQ54">
        <v>0</v>
      </c>
      <c r="AR54">
        <f t="shared" si="9"/>
        <v>9</v>
      </c>
      <c r="AS54">
        <f>IF(AND(IFERROR(VLOOKUP(AJ54,Equip!$A:$N,13,FALSE),0)&gt;=5,IFERROR(VLOOKUP(AJ54,Equip!$A:$N,13,FALSE),0)&lt;=9),INT(VLOOKUP(AJ54,Equip!$A:$N,6,FALSE)*SQRT(AN54)),0)</f>
        <v>0</v>
      </c>
      <c r="AT54">
        <f>IF(AND(IFERROR(VLOOKUP(AK54,Equip!$A:$N,13,FALSE),0)&gt;=5,IFERROR(VLOOKUP(AK54,Equip!$A:$N,13,FALSE),0)&lt;=9),INT(VLOOKUP(AK54,Equip!$A:$N,6,FALSE)*SQRT(AO54)),0)</f>
        <v>0</v>
      </c>
      <c r="AU54">
        <f>IF(AND(IFERROR(VLOOKUP(AL54,Equip!$A:$N,13,FALSE),0)&gt;=5,IFERROR(VLOOKUP(AL54,Equip!$A:$N,13,FALSE),0)&lt;=9),INT(VLOOKUP(AL54,Equip!$A:$N,6,FALSE)*SQRT(AP54)),0)</f>
        <v>0</v>
      </c>
      <c r="AV54">
        <f>IF(AND(IFERROR(VLOOKUP(AM54,Equip!$A:$N,13,FALSE),0)&gt;=5,IFERROR(VLOOKUP(AM54,Equip!$A:$N,13,FALSE),0)&lt;=9),INT(VLOOKUP(AM54,Equip!$A:$N,6,FALSE)*SQRT(AQ54)),0)</f>
        <v>0</v>
      </c>
      <c r="AW54">
        <f t="shared" si="2"/>
        <v>0</v>
      </c>
      <c r="AX54">
        <f t="shared" si="3"/>
        <v>388</v>
      </c>
    </row>
    <row r="55" spans="1:50">
      <c r="A55">
        <v>22</v>
      </c>
      <c r="B55" t="s">
        <v>756</v>
      </c>
      <c r="C55" t="s">
        <v>756</v>
      </c>
      <c r="D55">
        <v>1</v>
      </c>
      <c r="E55">
        <f t="shared" ref="E55:E56" si="118">E54</f>
        <v>2422</v>
      </c>
      <c r="F55">
        <f t="shared" ref="F55:F56" si="119">F54</f>
        <v>1311</v>
      </c>
      <c r="G55">
        <f t="shared" ref="G55:G56" si="120">G54</f>
        <v>22</v>
      </c>
      <c r="H55">
        <f t="shared" ref="H55:H56" si="121">H54</f>
        <v>2</v>
      </c>
      <c r="I55">
        <f t="shared" ref="I55:I56" si="122">I54</f>
        <v>1</v>
      </c>
      <c r="J55">
        <f t="shared" ref="J55:J56" si="123">J54</f>
        <v>4</v>
      </c>
      <c r="K55">
        <v>8</v>
      </c>
      <c r="L55">
        <v>7</v>
      </c>
      <c r="M55">
        <v>75</v>
      </c>
      <c r="N55">
        <v>75</v>
      </c>
      <c r="O55">
        <v>77</v>
      </c>
      <c r="P55">
        <v>70</v>
      </c>
      <c r="Q55">
        <v>0</v>
      </c>
      <c r="R55">
        <v>43</v>
      </c>
      <c r="S55">
        <v>34</v>
      </c>
      <c r="T55">
        <v>0</v>
      </c>
      <c r="U55">
        <f t="shared" si="1"/>
        <v>10</v>
      </c>
      <c r="V55">
        <v>23</v>
      </c>
      <c r="W55">
        <f t="shared" si="1"/>
        <v>3</v>
      </c>
      <c r="X55">
        <v>12</v>
      </c>
      <c r="Y55">
        <f t="shared" si="1"/>
        <v>0</v>
      </c>
      <c r="Z55">
        <v>90</v>
      </c>
      <c r="AA55">
        <v>120</v>
      </c>
      <c r="AB55">
        <v>94</v>
      </c>
      <c r="AC55">
        <v>0</v>
      </c>
      <c r="AD55">
        <v>79</v>
      </c>
      <c r="AE55">
        <v>89</v>
      </c>
      <c r="AF55">
        <v>69</v>
      </c>
      <c r="AG55">
        <v>69</v>
      </c>
      <c r="AH55">
        <v>0</v>
      </c>
      <c r="AI55">
        <v>49</v>
      </c>
      <c r="AJ55">
        <v>8</v>
      </c>
      <c r="AK55">
        <v>12</v>
      </c>
      <c r="AL55">
        <v>10</v>
      </c>
      <c r="AM55">
        <v>0</v>
      </c>
      <c r="AN55">
        <v>3</v>
      </c>
      <c r="AO55">
        <v>3</v>
      </c>
      <c r="AP55">
        <v>3</v>
      </c>
      <c r="AQ55">
        <v>3</v>
      </c>
      <c r="AR55">
        <f t="shared" si="9"/>
        <v>12</v>
      </c>
      <c r="AS55">
        <f>IF(AND(IFERROR(VLOOKUP(AJ55,Equip!$A:$N,13,FALSE),0)&gt;=5,IFERROR(VLOOKUP(AJ55,Equip!$A:$N,13,FALSE),0)&lt;=9),INT(VLOOKUP(AJ55,Equip!$A:$N,6,FALSE)*SQRT(AN55)),0)</f>
        <v>0</v>
      </c>
      <c r="AT55">
        <f>IF(AND(IFERROR(VLOOKUP(AK55,Equip!$A:$N,13,FALSE),0)&gt;=5,IFERROR(VLOOKUP(AK55,Equip!$A:$N,13,FALSE),0)&lt;=9),INT(VLOOKUP(AK55,Equip!$A:$N,6,FALSE)*SQRT(AO55)),0)</f>
        <v>0</v>
      </c>
      <c r="AU55">
        <f>IF(AND(IFERROR(VLOOKUP(AL55,Equip!$A:$N,13,FALSE),0)&gt;=5,IFERROR(VLOOKUP(AL55,Equip!$A:$N,13,FALSE),0)&lt;=9),INT(VLOOKUP(AL55,Equip!$A:$N,6,FALSE)*SQRT(AP55)),0)</f>
        <v>0</v>
      </c>
      <c r="AV55">
        <f>IF(AND(IFERROR(VLOOKUP(AM55,Equip!$A:$N,13,FALSE),0)&gt;=5,IFERROR(VLOOKUP(AM55,Equip!$A:$N,13,FALSE),0)&lt;=9),INT(VLOOKUP(AM55,Equip!$A:$N,6,FALSE)*SQRT(AQ55)),0)</f>
        <v>0</v>
      </c>
      <c r="AW55">
        <f t="shared" si="2"/>
        <v>0</v>
      </c>
      <c r="AX55">
        <f t="shared" si="3"/>
        <v>455</v>
      </c>
    </row>
    <row r="56" spans="1:50">
      <c r="A56">
        <v>22</v>
      </c>
      <c r="B56" t="s">
        <v>756</v>
      </c>
      <c r="C56" t="s">
        <v>756</v>
      </c>
      <c r="D56">
        <v>2</v>
      </c>
      <c r="E56">
        <f t="shared" si="118"/>
        <v>2422</v>
      </c>
      <c r="F56">
        <f t="shared" si="119"/>
        <v>1311</v>
      </c>
      <c r="G56">
        <f t="shared" si="120"/>
        <v>22</v>
      </c>
      <c r="H56">
        <f t="shared" si="121"/>
        <v>2</v>
      </c>
      <c r="I56">
        <f t="shared" si="122"/>
        <v>1</v>
      </c>
      <c r="J56">
        <f t="shared" si="123"/>
        <v>4</v>
      </c>
      <c r="K56">
        <v>8</v>
      </c>
      <c r="L56">
        <v>7</v>
      </c>
      <c r="M56">
        <v>83</v>
      </c>
      <c r="N56">
        <v>83</v>
      </c>
      <c r="O56">
        <v>90</v>
      </c>
      <c r="P56">
        <v>86</v>
      </c>
      <c r="Q56">
        <v>0</v>
      </c>
      <c r="R56">
        <v>63</v>
      </c>
      <c r="S56">
        <v>46</v>
      </c>
      <c r="T56">
        <v>0</v>
      </c>
      <c r="U56">
        <f t="shared" si="1"/>
        <v>10</v>
      </c>
      <c r="V56">
        <v>41</v>
      </c>
      <c r="W56">
        <f t="shared" si="1"/>
        <v>3</v>
      </c>
      <c r="X56">
        <v>13</v>
      </c>
      <c r="Y56">
        <f t="shared" si="1"/>
        <v>0</v>
      </c>
      <c r="Z56">
        <v>100</v>
      </c>
      <c r="AA56">
        <v>125</v>
      </c>
      <c r="AB56">
        <v>98</v>
      </c>
      <c r="AC56">
        <v>0</v>
      </c>
      <c r="AD56">
        <v>82</v>
      </c>
      <c r="AE56">
        <v>95</v>
      </c>
      <c r="AF56">
        <v>79</v>
      </c>
      <c r="AG56">
        <v>72</v>
      </c>
      <c r="AH56">
        <v>0</v>
      </c>
      <c r="AI56">
        <v>49</v>
      </c>
      <c r="AJ56">
        <v>8</v>
      </c>
      <c r="AK56">
        <v>30</v>
      </c>
      <c r="AL56">
        <v>35</v>
      </c>
      <c r="AM56">
        <v>0</v>
      </c>
      <c r="AN56">
        <v>3</v>
      </c>
      <c r="AO56">
        <v>3</v>
      </c>
      <c r="AP56">
        <v>3</v>
      </c>
      <c r="AQ56">
        <v>3</v>
      </c>
      <c r="AR56">
        <f t="shared" si="9"/>
        <v>12</v>
      </c>
      <c r="AS56">
        <f>IF(AND(IFERROR(VLOOKUP(AJ56,Equip!$A:$N,13,FALSE),0)&gt;=5,IFERROR(VLOOKUP(AJ56,Equip!$A:$N,13,FALSE),0)&lt;=9),INT(VLOOKUP(AJ56,Equip!$A:$N,6,FALSE)*SQRT(AN56)),0)</f>
        <v>0</v>
      </c>
      <c r="AT56">
        <f>IF(AND(IFERROR(VLOOKUP(AK56,Equip!$A:$N,13,FALSE),0)&gt;=5,IFERROR(VLOOKUP(AK56,Equip!$A:$N,13,FALSE),0)&lt;=9),INT(VLOOKUP(AK56,Equip!$A:$N,6,FALSE)*SQRT(AO56)),0)</f>
        <v>0</v>
      </c>
      <c r="AU56">
        <f>IF(AND(IFERROR(VLOOKUP(AL56,Equip!$A:$N,13,FALSE),0)&gt;=5,IFERROR(VLOOKUP(AL56,Equip!$A:$N,13,FALSE),0)&lt;=9),INT(VLOOKUP(AL56,Equip!$A:$N,6,FALSE)*SQRT(AP56)),0)</f>
        <v>0</v>
      </c>
      <c r="AV56">
        <f>IF(AND(IFERROR(VLOOKUP(AM56,Equip!$A:$N,13,FALSE),0)&gt;=5,IFERROR(VLOOKUP(AM56,Equip!$A:$N,13,FALSE),0)&lt;=9),INT(VLOOKUP(AM56,Equip!$A:$N,6,FALSE)*SQRT(AQ56)),0)</f>
        <v>0</v>
      </c>
      <c r="AW56">
        <f t="shared" si="2"/>
        <v>0</v>
      </c>
      <c r="AX56">
        <f t="shared" si="3"/>
        <v>479</v>
      </c>
    </row>
    <row r="57" spans="1:50">
      <c r="A57">
        <v>23</v>
      </c>
      <c r="B57" t="s">
        <v>757</v>
      </c>
      <c r="C57" t="s">
        <v>757</v>
      </c>
      <c r="D57">
        <v>0</v>
      </c>
      <c r="E57">
        <v>2422</v>
      </c>
      <c r="F57">
        <v>1311</v>
      </c>
      <c r="G57">
        <v>23</v>
      </c>
      <c r="H57">
        <v>2</v>
      </c>
      <c r="I57">
        <v>1</v>
      </c>
      <c r="J57">
        <v>6</v>
      </c>
      <c r="K57">
        <v>8</v>
      </c>
      <c r="L57">
        <v>7</v>
      </c>
      <c r="M57">
        <v>63</v>
      </c>
      <c r="N57">
        <v>63</v>
      </c>
      <c r="O57">
        <v>63</v>
      </c>
      <c r="P57">
        <v>52</v>
      </c>
      <c r="Q57">
        <v>0</v>
      </c>
      <c r="R57">
        <v>30</v>
      </c>
      <c r="S57">
        <v>24</v>
      </c>
      <c r="T57">
        <v>0</v>
      </c>
      <c r="U57">
        <v>10</v>
      </c>
      <c r="V57">
        <v>13</v>
      </c>
      <c r="W57">
        <v>3</v>
      </c>
      <c r="X57">
        <v>15</v>
      </c>
      <c r="Y57">
        <v>0</v>
      </c>
      <c r="Z57">
        <v>80</v>
      </c>
      <c r="AA57">
        <v>110</v>
      </c>
      <c r="AB57">
        <v>89</v>
      </c>
      <c r="AC57">
        <v>0</v>
      </c>
      <c r="AD57">
        <v>69</v>
      </c>
      <c r="AE57">
        <v>69</v>
      </c>
      <c r="AF57">
        <v>69</v>
      </c>
      <c r="AG57">
        <v>59</v>
      </c>
      <c r="AH57">
        <v>0</v>
      </c>
      <c r="AI57">
        <v>39</v>
      </c>
      <c r="AJ57">
        <v>7</v>
      </c>
      <c r="AK57">
        <v>11</v>
      </c>
      <c r="AL57">
        <v>37</v>
      </c>
      <c r="AM57">
        <v>-1</v>
      </c>
      <c r="AN57">
        <v>3</v>
      </c>
      <c r="AO57">
        <v>3</v>
      </c>
      <c r="AP57">
        <v>3</v>
      </c>
      <c r="AQ57">
        <v>0</v>
      </c>
      <c r="AR57">
        <f t="shared" si="9"/>
        <v>9</v>
      </c>
      <c r="AS57">
        <f>IF(AND(IFERROR(VLOOKUP(AJ57,Equip!$A:$N,13,FALSE),0)&gt;=5,IFERROR(VLOOKUP(AJ57,Equip!$A:$N,13,FALSE),0)&lt;=9),INT(VLOOKUP(AJ57,Equip!$A:$N,6,FALSE)*SQRT(AN57)),0)</f>
        <v>0</v>
      </c>
      <c r="AT57">
        <f>IF(AND(IFERROR(VLOOKUP(AK57,Equip!$A:$N,13,FALSE),0)&gt;=5,IFERROR(VLOOKUP(AK57,Equip!$A:$N,13,FALSE),0)&lt;=9),INT(VLOOKUP(AK57,Equip!$A:$N,6,FALSE)*SQRT(AO57)),0)</f>
        <v>0</v>
      </c>
      <c r="AU57">
        <f>IF(AND(IFERROR(VLOOKUP(AL57,Equip!$A:$N,13,FALSE),0)&gt;=5,IFERROR(VLOOKUP(AL57,Equip!$A:$N,13,FALSE),0)&lt;=9),INT(VLOOKUP(AL57,Equip!$A:$N,6,FALSE)*SQRT(AP57)),0)</f>
        <v>0</v>
      </c>
      <c r="AV57">
        <f>IF(AND(IFERROR(VLOOKUP(AM57,Equip!$A:$N,13,FALSE),0)&gt;=5,IFERROR(VLOOKUP(AM57,Equip!$A:$N,13,FALSE),0)&lt;=9),INT(VLOOKUP(AM57,Equip!$A:$N,6,FALSE)*SQRT(AQ57)),0)</f>
        <v>0</v>
      </c>
      <c r="AW57">
        <f t="shared" si="2"/>
        <v>0</v>
      </c>
      <c r="AX57">
        <f t="shared" si="3"/>
        <v>388</v>
      </c>
    </row>
    <row r="58" spans="1:50">
      <c r="A58">
        <v>23</v>
      </c>
      <c r="B58" t="s">
        <v>757</v>
      </c>
      <c r="C58" t="s">
        <v>757</v>
      </c>
      <c r="D58">
        <v>1</v>
      </c>
      <c r="E58">
        <f t="shared" ref="E58:E59" si="124">E57</f>
        <v>2422</v>
      </c>
      <c r="F58">
        <f t="shared" ref="F58:F59" si="125">F57</f>
        <v>1311</v>
      </c>
      <c r="G58">
        <f t="shared" ref="G58:G59" si="126">G57</f>
        <v>23</v>
      </c>
      <c r="H58">
        <f t="shared" ref="H58:H59" si="127">H57</f>
        <v>2</v>
      </c>
      <c r="I58">
        <f t="shared" ref="I58:I59" si="128">I57</f>
        <v>1</v>
      </c>
      <c r="J58">
        <f t="shared" ref="J58:J59" si="129">J57</f>
        <v>6</v>
      </c>
      <c r="K58">
        <v>8</v>
      </c>
      <c r="L58">
        <v>7</v>
      </c>
      <c r="M58">
        <v>75</v>
      </c>
      <c r="N58">
        <v>75</v>
      </c>
      <c r="O58">
        <v>72</v>
      </c>
      <c r="P58">
        <v>67</v>
      </c>
      <c r="Q58">
        <v>0</v>
      </c>
      <c r="R58">
        <v>35</v>
      </c>
      <c r="S58">
        <v>28</v>
      </c>
      <c r="T58">
        <v>0</v>
      </c>
      <c r="U58">
        <f t="shared" si="1"/>
        <v>10</v>
      </c>
      <c r="V58">
        <v>15</v>
      </c>
      <c r="W58">
        <f t="shared" si="1"/>
        <v>3</v>
      </c>
      <c r="X58">
        <v>20</v>
      </c>
      <c r="Y58">
        <f t="shared" si="1"/>
        <v>0</v>
      </c>
      <c r="Z58">
        <v>90</v>
      </c>
      <c r="AA58">
        <v>120</v>
      </c>
      <c r="AB58">
        <v>94</v>
      </c>
      <c r="AC58">
        <v>0</v>
      </c>
      <c r="AD58">
        <v>79</v>
      </c>
      <c r="AE58">
        <v>89</v>
      </c>
      <c r="AF58">
        <v>79</v>
      </c>
      <c r="AG58">
        <v>69</v>
      </c>
      <c r="AH58">
        <v>0</v>
      </c>
      <c r="AI58">
        <v>49</v>
      </c>
      <c r="AJ58">
        <v>8</v>
      </c>
      <c r="AK58">
        <v>12</v>
      </c>
      <c r="AL58">
        <v>10</v>
      </c>
      <c r="AM58">
        <v>0</v>
      </c>
      <c r="AN58">
        <v>3</v>
      </c>
      <c r="AO58">
        <v>3</v>
      </c>
      <c r="AP58">
        <v>3</v>
      </c>
      <c r="AQ58">
        <v>3</v>
      </c>
      <c r="AR58">
        <f t="shared" si="9"/>
        <v>12</v>
      </c>
      <c r="AS58">
        <f>IF(AND(IFERROR(VLOOKUP(AJ58,Equip!$A:$N,13,FALSE),0)&gt;=5,IFERROR(VLOOKUP(AJ58,Equip!$A:$N,13,FALSE),0)&lt;=9),INT(VLOOKUP(AJ58,Equip!$A:$N,6,FALSE)*SQRT(AN58)),0)</f>
        <v>0</v>
      </c>
      <c r="AT58">
        <f>IF(AND(IFERROR(VLOOKUP(AK58,Equip!$A:$N,13,FALSE),0)&gt;=5,IFERROR(VLOOKUP(AK58,Equip!$A:$N,13,FALSE),0)&lt;=9),INT(VLOOKUP(AK58,Equip!$A:$N,6,FALSE)*SQRT(AO58)),0)</f>
        <v>0</v>
      </c>
      <c r="AU58">
        <f>IF(AND(IFERROR(VLOOKUP(AL58,Equip!$A:$N,13,FALSE),0)&gt;=5,IFERROR(VLOOKUP(AL58,Equip!$A:$N,13,FALSE),0)&lt;=9),INT(VLOOKUP(AL58,Equip!$A:$N,6,FALSE)*SQRT(AP58)),0)</f>
        <v>0</v>
      </c>
      <c r="AV58">
        <f>IF(AND(IFERROR(VLOOKUP(AM58,Equip!$A:$N,13,FALSE),0)&gt;=5,IFERROR(VLOOKUP(AM58,Equip!$A:$N,13,FALSE),0)&lt;=9),INT(VLOOKUP(AM58,Equip!$A:$N,6,FALSE)*SQRT(AQ58)),0)</f>
        <v>0</v>
      </c>
      <c r="AW58">
        <f t="shared" si="2"/>
        <v>0</v>
      </c>
      <c r="AX58">
        <f t="shared" si="3"/>
        <v>455</v>
      </c>
    </row>
    <row r="59" spans="1:50">
      <c r="A59">
        <v>23</v>
      </c>
      <c r="B59" t="s">
        <v>757</v>
      </c>
      <c r="C59" t="s">
        <v>757</v>
      </c>
      <c r="D59">
        <v>2</v>
      </c>
      <c r="E59">
        <f t="shared" si="124"/>
        <v>2422</v>
      </c>
      <c r="F59">
        <f t="shared" si="125"/>
        <v>1311</v>
      </c>
      <c r="G59">
        <f t="shared" si="126"/>
        <v>23</v>
      </c>
      <c r="H59">
        <f t="shared" si="127"/>
        <v>2</v>
      </c>
      <c r="I59">
        <f t="shared" si="128"/>
        <v>1</v>
      </c>
      <c r="J59">
        <f t="shared" si="129"/>
        <v>6</v>
      </c>
      <c r="K59">
        <v>8</v>
      </c>
      <c r="L59">
        <v>7</v>
      </c>
      <c r="M59">
        <v>81</v>
      </c>
      <c r="N59">
        <v>81</v>
      </c>
      <c r="O59">
        <v>75</v>
      </c>
      <c r="P59">
        <v>70</v>
      </c>
      <c r="Q59">
        <v>0</v>
      </c>
      <c r="R59">
        <v>39</v>
      </c>
      <c r="S59">
        <v>41</v>
      </c>
      <c r="T59">
        <v>0</v>
      </c>
      <c r="U59">
        <f t="shared" si="1"/>
        <v>10</v>
      </c>
      <c r="V59">
        <v>17</v>
      </c>
      <c r="W59">
        <f t="shared" si="1"/>
        <v>3</v>
      </c>
      <c r="X59">
        <v>41</v>
      </c>
      <c r="Y59">
        <f t="shared" si="1"/>
        <v>0</v>
      </c>
      <c r="Z59">
        <v>100</v>
      </c>
      <c r="AA59">
        <v>125</v>
      </c>
      <c r="AB59">
        <v>96</v>
      </c>
      <c r="AC59">
        <v>0</v>
      </c>
      <c r="AD59">
        <v>92</v>
      </c>
      <c r="AE59">
        <v>93</v>
      </c>
      <c r="AF59">
        <v>89</v>
      </c>
      <c r="AG59">
        <v>74</v>
      </c>
      <c r="AH59">
        <v>0</v>
      </c>
      <c r="AI59">
        <v>89</v>
      </c>
      <c r="AJ59">
        <v>104</v>
      </c>
      <c r="AK59">
        <v>104</v>
      </c>
      <c r="AL59">
        <v>35</v>
      </c>
      <c r="AM59">
        <v>27</v>
      </c>
      <c r="AN59">
        <v>3</v>
      </c>
      <c r="AO59">
        <v>3</v>
      </c>
      <c r="AP59">
        <v>3</v>
      </c>
      <c r="AQ59">
        <v>3</v>
      </c>
      <c r="AR59">
        <f t="shared" si="9"/>
        <v>12</v>
      </c>
      <c r="AS59">
        <f>IF(AND(IFERROR(VLOOKUP(AJ59,Equip!$A:$N,13,FALSE),0)&gt;=5,IFERROR(VLOOKUP(AJ59,Equip!$A:$N,13,FALSE),0)&lt;=9),INT(VLOOKUP(AJ59,Equip!$A:$N,6,FALSE)*SQRT(AN59)),0)</f>
        <v>0</v>
      </c>
      <c r="AT59">
        <f>IF(AND(IFERROR(VLOOKUP(AK59,Equip!$A:$N,13,FALSE),0)&gt;=5,IFERROR(VLOOKUP(AK59,Equip!$A:$N,13,FALSE),0)&lt;=9),INT(VLOOKUP(AK59,Equip!$A:$N,6,FALSE)*SQRT(AO59)),0)</f>
        <v>0</v>
      </c>
      <c r="AU59">
        <f>IF(AND(IFERROR(VLOOKUP(AL59,Equip!$A:$N,13,FALSE),0)&gt;=5,IFERROR(VLOOKUP(AL59,Equip!$A:$N,13,FALSE),0)&lt;=9),INT(VLOOKUP(AL59,Equip!$A:$N,6,FALSE)*SQRT(AP59)),0)</f>
        <v>0</v>
      </c>
      <c r="AV59">
        <f>IF(AND(IFERROR(VLOOKUP(AM59,Equip!$A:$N,13,FALSE),0)&gt;=5,IFERROR(VLOOKUP(AM59,Equip!$A:$N,13,FALSE),0)&lt;=9),INT(VLOOKUP(AM59,Equip!$A:$N,6,FALSE)*SQRT(AQ59)),0)</f>
        <v>0</v>
      </c>
      <c r="AW59">
        <f t="shared" si="2"/>
        <v>0</v>
      </c>
      <c r="AX59">
        <f t="shared" si="3"/>
        <v>525</v>
      </c>
    </row>
    <row r="60" spans="1:50">
      <c r="A60">
        <v>24</v>
      </c>
      <c r="B60" t="s">
        <v>758</v>
      </c>
      <c r="C60" t="s">
        <v>758</v>
      </c>
      <c r="D60">
        <v>0</v>
      </c>
      <c r="E60">
        <v>2422</v>
      </c>
      <c r="F60">
        <v>1311</v>
      </c>
      <c r="G60">
        <v>24</v>
      </c>
      <c r="H60">
        <v>2</v>
      </c>
      <c r="I60">
        <v>1</v>
      </c>
      <c r="J60">
        <v>7</v>
      </c>
      <c r="K60">
        <v>8</v>
      </c>
      <c r="L60">
        <v>7</v>
      </c>
      <c r="M60">
        <v>63</v>
      </c>
      <c r="N60">
        <v>63</v>
      </c>
      <c r="O60">
        <v>63</v>
      </c>
      <c r="P60">
        <v>52</v>
      </c>
      <c r="Q60">
        <v>0</v>
      </c>
      <c r="R60">
        <v>30</v>
      </c>
      <c r="S60">
        <v>24</v>
      </c>
      <c r="T60">
        <v>0</v>
      </c>
      <c r="U60">
        <v>10</v>
      </c>
      <c r="V60">
        <v>13</v>
      </c>
      <c r="W60">
        <v>3</v>
      </c>
      <c r="X60">
        <v>10</v>
      </c>
      <c r="Y60">
        <v>0</v>
      </c>
      <c r="Z60">
        <v>80</v>
      </c>
      <c r="AA60">
        <v>110</v>
      </c>
      <c r="AB60">
        <v>89</v>
      </c>
      <c r="AC60">
        <v>0</v>
      </c>
      <c r="AD60">
        <v>69</v>
      </c>
      <c r="AE60">
        <v>69</v>
      </c>
      <c r="AF60">
        <v>49</v>
      </c>
      <c r="AG60">
        <v>59</v>
      </c>
      <c r="AH60">
        <v>0</v>
      </c>
      <c r="AI60">
        <v>39</v>
      </c>
      <c r="AJ60">
        <v>7</v>
      </c>
      <c r="AK60">
        <v>11</v>
      </c>
      <c r="AL60">
        <v>37</v>
      </c>
      <c r="AM60">
        <v>-1</v>
      </c>
      <c r="AN60">
        <v>3</v>
      </c>
      <c r="AO60">
        <v>3</v>
      </c>
      <c r="AP60">
        <v>3</v>
      </c>
      <c r="AQ60">
        <v>0</v>
      </c>
      <c r="AR60">
        <f t="shared" si="9"/>
        <v>9</v>
      </c>
      <c r="AS60">
        <f>IF(AND(IFERROR(VLOOKUP(AJ60,Equip!$A:$N,13,FALSE),0)&gt;=5,IFERROR(VLOOKUP(AJ60,Equip!$A:$N,13,FALSE),0)&lt;=9),INT(VLOOKUP(AJ60,Equip!$A:$N,6,FALSE)*SQRT(AN60)),0)</f>
        <v>0</v>
      </c>
      <c r="AT60">
        <f>IF(AND(IFERROR(VLOOKUP(AK60,Equip!$A:$N,13,FALSE),0)&gt;=5,IFERROR(VLOOKUP(AK60,Equip!$A:$N,13,FALSE),0)&lt;=9),INT(VLOOKUP(AK60,Equip!$A:$N,6,FALSE)*SQRT(AO60)),0)</f>
        <v>0</v>
      </c>
      <c r="AU60">
        <f>IF(AND(IFERROR(VLOOKUP(AL60,Equip!$A:$N,13,FALSE),0)&gt;=5,IFERROR(VLOOKUP(AL60,Equip!$A:$N,13,FALSE),0)&lt;=9),INT(VLOOKUP(AL60,Equip!$A:$N,6,FALSE)*SQRT(AP60)),0)</f>
        <v>0</v>
      </c>
      <c r="AV60">
        <f>IF(AND(IFERROR(VLOOKUP(AM60,Equip!$A:$N,13,FALSE),0)&gt;=5,IFERROR(VLOOKUP(AM60,Equip!$A:$N,13,FALSE),0)&lt;=9),INT(VLOOKUP(AM60,Equip!$A:$N,6,FALSE)*SQRT(AQ60)),0)</f>
        <v>0</v>
      </c>
      <c r="AW60">
        <f t="shared" si="2"/>
        <v>0</v>
      </c>
      <c r="AX60">
        <f t="shared" si="3"/>
        <v>388</v>
      </c>
    </row>
    <row r="61" spans="1:50">
      <c r="A61">
        <v>24</v>
      </c>
      <c r="B61" t="s">
        <v>758</v>
      </c>
      <c r="C61" t="s">
        <v>758</v>
      </c>
      <c r="D61">
        <v>1</v>
      </c>
      <c r="E61">
        <f t="shared" ref="E61:E62" si="130">E60</f>
        <v>2422</v>
      </c>
      <c r="F61">
        <f t="shared" ref="F61:F62" si="131">F60</f>
        <v>1311</v>
      </c>
      <c r="G61">
        <f t="shared" ref="G61:G62" si="132">G60</f>
        <v>24</v>
      </c>
      <c r="H61">
        <f t="shared" ref="H61:H62" si="133">H60</f>
        <v>2</v>
      </c>
      <c r="I61">
        <f t="shared" ref="I61:I62" si="134">I60</f>
        <v>1</v>
      </c>
      <c r="J61">
        <f t="shared" ref="J61:J62" si="135">J60</f>
        <v>7</v>
      </c>
      <c r="K61">
        <v>8</v>
      </c>
      <c r="L61">
        <v>7</v>
      </c>
      <c r="M61">
        <v>75</v>
      </c>
      <c r="N61">
        <v>75</v>
      </c>
      <c r="O61">
        <v>75</v>
      </c>
      <c r="P61">
        <v>67</v>
      </c>
      <c r="Q61">
        <v>0</v>
      </c>
      <c r="R61">
        <v>35</v>
      </c>
      <c r="S61">
        <v>28</v>
      </c>
      <c r="T61">
        <v>0</v>
      </c>
      <c r="U61">
        <f t="shared" si="1"/>
        <v>10</v>
      </c>
      <c r="V61">
        <v>15</v>
      </c>
      <c r="W61">
        <f t="shared" si="1"/>
        <v>3</v>
      </c>
      <c r="X61">
        <v>12</v>
      </c>
      <c r="Y61">
        <f t="shared" si="1"/>
        <v>0</v>
      </c>
      <c r="Z61">
        <v>90</v>
      </c>
      <c r="AA61">
        <v>120</v>
      </c>
      <c r="AB61">
        <v>94</v>
      </c>
      <c r="AC61">
        <v>0</v>
      </c>
      <c r="AD61">
        <v>79</v>
      </c>
      <c r="AE61">
        <v>89</v>
      </c>
      <c r="AF61">
        <v>69</v>
      </c>
      <c r="AG61">
        <v>69</v>
      </c>
      <c r="AH61">
        <v>0</v>
      </c>
      <c r="AI61">
        <v>49</v>
      </c>
      <c r="AJ61">
        <v>8</v>
      </c>
      <c r="AK61">
        <v>12</v>
      </c>
      <c r="AL61">
        <v>10</v>
      </c>
      <c r="AM61">
        <v>0</v>
      </c>
      <c r="AN61">
        <v>3</v>
      </c>
      <c r="AO61">
        <v>3</v>
      </c>
      <c r="AP61">
        <v>3</v>
      </c>
      <c r="AQ61">
        <v>3</v>
      </c>
      <c r="AR61">
        <f t="shared" si="9"/>
        <v>12</v>
      </c>
      <c r="AS61">
        <f>IF(AND(IFERROR(VLOOKUP(AJ61,Equip!$A:$N,13,FALSE),0)&gt;=5,IFERROR(VLOOKUP(AJ61,Equip!$A:$N,13,FALSE),0)&lt;=9),INT(VLOOKUP(AJ61,Equip!$A:$N,6,FALSE)*SQRT(AN61)),0)</f>
        <v>0</v>
      </c>
      <c r="AT61">
        <f>IF(AND(IFERROR(VLOOKUP(AK61,Equip!$A:$N,13,FALSE),0)&gt;=5,IFERROR(VLOOKUP(AK61,Equip!$A:$N,13,FALSE),0)&lt;=9),INT(VLOOKUP(AK61,Equip!$A:$N,6,FALSE)*SQRT(AO61)),0)</f>
        <v>0</v>
      </c>
      <c r="AU61">
        <f>IF(AND(IFERROR(VLOOKUP(AL61,Equip!$A:$N,13,FALSE),0)&gt;=5,IFERROR(VLOOKUP(AL61,Equip!$A:$N,13,FALSE),0)&lt;=9),INT(VLOOKUP(AL61,Equip!$A:$N,6,FALSE)*SQRT(AP61)),0)</f>
        <v>0</v>
      </c>
      <c r="AV61">
        <f>IF(AND(IFERROR(VLOOKUP(AM61,Equip!$A:$N,13,FALSE),0)&gt;=5,IFERROR(VLOOKUP(AM61,Equip!$A:$N,13,FALSE),0)&lt;=9),INT(VLOOKUP(AM61,Equip!$A:$N,6,FALSE)*SQRT(AQ61)),0)</f>
        <v>0</v>
      </c>
      <c r="AW61">
        <f t="shared" si="2"/>
        <v>0</v>
      </c>
      <c r="AX61">
        <f t="shared" si="3"/>
        <v>455</v>
      </c>
    </row>
    <row r="62" spans="1:50">
      <c r="A62">
        <v>24</v>
      </c>
      <c r="B62" t="s">
        <v>758</v>
      </c>
      <c r="C62" t="s">
        <v>758</v>
      </c>
      <c r="D62">
        <v>2</v>
      </c>
      <c r="E62">
        <f t="shared" si="130"/>
        <v>2422</v>
      </c>
      <c r="F62">
        <f t="shared" si="131"/>
        <v>1311</v>
      </c>
      <c r="G62">
        <f t="shared" si="132"/>
        <v>24</v>
      </c>
      <c r="H62">
        <f t="shared" si="133"/>
        <v>2</v>
      </c>
      <c r="I62">
        <f t="shared" si="134"/>
        <v>1</v>
      </c>
      <c r="J62">
        <f t="shared" si="135"/>
        <v>7</v>
      </c>
      <c r="K62">
        <v>8</v>
      </c>
      <c r="L62">
        <v>7</v>
      </c>
      <c r="M62">
        <v>82</v>
      </c>
      <c r="N62">
        <v>82</v>
      </c>
      <c r="O62">
        <v>78</v>
      </c>
      <c r="P62">
        <v>70</v>
      </c>
      <c r="Q62">
        <v>0</v>
      </c>
      <c r="R62">
        <v>34</v>
      </c>
      <c r="S62">
        <v>30</v>
      </c>
      <c r="T62">
        <v>0</v>
      </c>
      <c r="U62">
        <f t="shared" si="1"/>
        <v>10</v>
      </c>
      <c r="V62">
        <v>15</v>
      </c>
      <c r="W62">
        <f t="shared" si="1"/>
        <v>3</v>
      </c>
      <c r="X62">
        <v>14</v>
      </c>
      <c r="Y62">
        <f t="shared" si="1"/>
        <v>0</v>
      </c>
      <c r="Z62">
        <v>100</v>
      </c>
      <c r="AA62">
        <v>125</v>
      </c>
      <c r="AB62">
        <v>104</v>
      </c>
      <c r="AC62">
        <v>0</v>
      </c>
      <c r="AD62">
        <v>82</v>
      </c>
      <c r="AE62">
        <v>92</v>
      </c>
      <c r="AF62">
        <v>79</v>
      </c>
      <c r="AG62">
        <v>72</v>
      </c>
      <c r="AH62">
        <v>0</v>
      </c>
      <c r="AI62">
        <v>49</v>
      </c>
      <c r="AJ62">
        <v>8</v>
      </c>
      <c r="AK62">
        <v>74</v>
      </c>
      <c r="AL62">
        <v>30</v>
      </c>
      <c r="AM62">
        <v>0</v>
      </c>
      <c r="AN62">
        <v>3</v>
      </c>
      <c r="AO62">
        <v>3</v>
      </c>
      <c r="AP62">
        <v>3</v>
      </c>
      <c r="AQ62">
        <v>3</v>
      </c>
      <c r="AR62">
        <f t="shared" si="9"/>
        <v>12</v>
      </c>
      <c r="AS62">
        <f>IF(AND(IFERROR(VLOOKUP(AJ62,Equip!$A:$N,13,FALSE),0)&gt;=5,IFERROR(VLOOKUP(AJ62,Equip!$A:$N,13,FALSE),0)&lt;=9),INT(VLOOKUP(AJ62,Equip!$A:$N,6,FALSE)*SQRT(AN62)),0)</f>
        <v>0</v>
      </c>
      <c r="AT62">
        <f>IF(AND(IFERROR(VLOOKUP(AK62,Equip!$A:$N,13,FALSE),0)&gt;=5,IFERROR(VLOOKUP(AK62,Equip!$A:$N,13,FALSE),0)&lt;=9),INT(VLOOKUP(AK62,Equip!$A:$N,6,FALSE)*SQRT(AO62)),0)</f>
        <v>0</v>
      </c>
      <c r="AU62">
        <f>IF(AND(IFERROR(VLOOKUP(AL62,Equip!$A:$N,13,FALSE),0)&gt;=5,IFERROR(VLOOKUP(AL62,Equip!$A:$N,13,FALSE),0)&lt;=9),INT(VLOOKUP(AL62,Equip!$A:$N,6,FALSE)*SQRT(AP62)),0)</f>
        <v>0</v>
      </c>
      <c r="AV62">
        <f>IF(AND(IFERROR(VLOOKUP(AM62,Equip!$A:$N,13,FALSE),0)&gt;=5,IFERROR(VLOOKUP(AM62,Equip!$A:$N,13,FALSE),0)&lt;=9),INT(VLOOKUP(AM62,Equip!$A:$N,6,FALSE)*SQRT(AQ62)),0)</f>
        <v>0</v>
      </c>
      <c r="AW62">
        <f t="shared" si="2"/>
        <v>0</v>
      </c>
      <c r="AX62">
        <f t="shared" si="3"/>
        <v>481</v>
      </c>
    </row>
    <row r="63" spans="1:50">
      <c r="A63">
        <v>25</v>
      </c>
      <c r="B63" t="s">
        <v>759</v>
      </c>
      <c r="C63" t="s">
        <v>759</v>
      </c>
      <c r="D63">
        <v>0</v>
      </c>
      <c r="E63">
        <v>1733</v>
      </c>
      <c r="F63">
        <v>966</v>
      </c>
      <c r="G63">
        <v>25</v>
      </c>
      <c r="H63">
        <v>3</v>
      </c>
      <c r="I63">
        <v>1</v>
      </c>
      <c r="J63">
        <v>1</v>
      </c>
      <c r="K63">
        <v>9</v>
      </c>
      <c r="L63">
        <v>4</v>
      </c>
      <c r="M63">
        <v>30</v>
      </c>
      <c r="N63">
        <v>30</v>
      </c>
      <c r="O63">
        <v>0</v>
      </c>
      <c r="P63">
        <v>15</v>
      </c>
      <c r="Q63">
        <v>0</v>
      </c>
      <c r="R63">
        <v>24</v>
      </c>
      <c r="S63">
        <v>10</v>
      </c>
      <c r="T63">
        <v>0</v>
      </c>
      <c r="U63">
        <v>5</v>
      </c>
      <c r="V63">
        <v>32</v>
      </c>
      <c r="W63">
        <v>1</v>
      </c>
      <c r="X63">
        <v>20</v>
      </c>
      <c r="Y63">
        <v>0</v>
      </c>
      <c r="Z63">
        <v>25</v>
      </c>
      <c r="AA63">
        <v>25</v>
      </c>
      <c r="AB63">
        <v>19</v>
      </c>
      <c r="AC63">
        <v>0</v>
      </c>
      <c r="AD63">
        <v>29</v>
      </c>
      <c r="AE63">
        <v>39</v>
      </c>
      <c r="AF63">
        <v>69</v>
      </c>
      <c r="AG63">
        <v>39</v>
      </c>
      <c r="AH63">
        <v>0</v>
      </c>
      <c r="AI63">
        <v>69</v>
      </c>
      <c r="AJ63">
        <v>23</v>
      </c>
      <c r="AK63">
        <v>0</v>
      </c>
      <c r="AL63">
        <v>-1</v>
      </c>
      <c r="AM63">
        <v>-1</v>
      </c>
      <c r="AN63">
        <v>8</v>
      </c>
      <c r="AO63">
        <v>11</v>
      </c>
      <c r="AP63">
        <v>0</v>
      </c>
      <c r="AQ63">
        <v>0</v>
      </c>
      <c r="AR63">
        <f t="shared" si="9"/>
        <v>19</v>
      </c>
      <c r="AS63">
        <f>IF(AND(IFERROR(VLOOKUP(AJ63,Equip!$A:$N,13,FALSE),0)&gt;=5,IFERROR(VLOOKUP(AJ63,Equip!$A:$N,13,FALSE),0)&lt;=9),INT(VLOOKUP(AJ63,Equip!$A:$N,6,FALSE)*SQRT(AN63)),0)</f>
        <v>0</v>
      </c>
      <c r="AT63">
        <f>IF(AND(IFERROR(VLOOKUP(AK63,Equip!$A:$N,13,FALSE),0)&gt;=5,IFERROR(VLOOKUP(AK63,Equip!$A:$N,13,FALSE),0)&lt;=9),INT(VLOOKUP(AK63,Equip!$A:$N,6,FALSE)*SQRT(AO63)),0)</f>
        <v>0</v>
      </c>
      <c r="AU63">
        <f>IF(AND(IFERROR(VLOOKUP(AL63,Equip!$A:$N,13,FALSE),0)&gt;=5,IFERROR(VLOOKUP(AL63,Equip!$A:$N,13,FALSE),0)&lt;=9),INT(VLOOKUP(AL63,Equip!$A:$N,6,FALSE)*SQRT(AP63)),0)</f>
        <v>0</v>
      </c>
      <c r="AV63">
        <f>IF(AND(IFERROR(VLOOKUP(AM63,Equip!$A:$N,13,FALSE),0)&gt;=5,IFERROR(VLOOKUP(AM63,Equip!$A:$N,13,FALSE),0)&lt;=9),INT(VLOOKUP(AM63,Equip!$A:$N,6,FALSE)*SQRT(AQ63)),0)</f>
        <v>0</v>
      </c>
      <c r="AW63">
        <f t="shared" si="2"/>
        <v>0</v>
      </c>
      <c r="AX63">
        <f t="shared" si="3"/>
        <v>225</v>
      </c>
    </row>
    <row r="64" spans="1:50">
      <c r="A64">
        <v>25</v>
      </c>
      <c r="B64" t="s">
        <v>759</v>
      </c>
      <c r="C64" t="s">
        <v>759</v>
      </c>
      <c r="D64">
        <v>1</v>
      </c>
      <c r="E64">
        <f>E63</f>
        <v>1733</v>
      </c>
      <c r="F64">
        <f t="shared" ref="F64" si="136">F63</f>
        <v>966</v>
      </c>
      <c r="G64">
        <f t="shared" ref="G64" si="137">G63</f>
        <v>25</v>
      </c>
      <c r="H64">
        <f t="shared" ref="H64" si="138">H63</f>
        <v>3</v>
      </c>
      <c r="I64">
        <f t="shared" ref="I64" si="139">I63</f>
        <v>1</v>
      </c>
      <c r="J64">
        <f t="shared" ref="J64" si="140">J63</f>
        <v>1</v>
      </c>
      <c r="K64">
        <v>9</v>
      </c>
      <c r="L64">
        <v>4</v>
      </c>
      <c r="M64">
        <v>40</v>
      </c>
      <c r="N64">
        <v>40</v>
      </c>
      <c r="O64">
        <v>6</v>
      </c>
      <c r="P64">
        <v>28</v>
      </c>
      <c r="Q64">
        <v>0</v>
      </c>
      <c r="R64">
        <v>32</v>
      </c>
      <c r="S64">
        <v>20</v>
      </c>
      <c r="T64">
        <v>0</v>
      </c>
      <c r="U64">
        <f t="shared" si="1"/>
        <v>5</v>
      </c>
      <c r="V64">
        <v>46</v>
      </c>
      <c r="W64">
        <f t="shared" si="1"/>
        <v>1</v>
      </c>
      <c r="X64">
        <v>30</v>
      </c>
      <c r="Y64">
        <f t="shared" si="1"/>
        <v>0</v>
      </c>
      <c r="Z64">
        <v>30</v>
      </c>
      <c r="AA64">
        <v>30</v>
      </c>
      <c r="AB64">
        <v>29</v>
      </c>
      <c r="AC64">
        <v>0</v>
      </c>
      <c r="AD64">
        <v>39</v>
      </c>
      <c r="AE64">
        <v>49</v>
      </c>
      <c r="AF64">
        <v>79</v>
      </c>
      <c r="AG64">
        <v>59</v>
      </c>
      <c r="AH64">
        <v>0</v>
      </c>
      <c r="AI64">
        <v>79</v>
      </c>
      <c r="AJ64">
        <v>21</v>
      </c>
      <c r="AK64">
        <v>16</v>
      </c>
      <c r="AL64">
        <v>0</v>
      </c>
      <c r="AM64">
        <v>-1</v>
      </c>
      <c r="AN64">
        <v>14</v>
      </c>
      <c r="AO64">
        <v>16</v>
      </c>
      <c r="AP64">
        <v>12</v>
      </c>
      <c r="AQ64">
        <v>0</v>
      </c>
      <c r="AR64">
        <f t="shared" si="9"/>
        <v>42</v>
      </c>
      <c r="AS64">
        <f>IF(AND(IFERROR(VLOOKUP(AJ64,Equip!$A:$N,13,FALSE),0)&gt;=5,IFERROR(VLOOKUP(AJ64,Equip!$A:$N,13,FALSE),0)&lt;=9),INT(VLOOKUP(AJ64,Equip!$A:$N,6,FALSE)*SQRT(AN64)),0)</f>
        <v>0</v>
      </c>
      <c r="AT64">
        <f>IF(AND(IFERROR(VLOOKUP(AK64,Equip!$A:$N,13,FALSE),0)&gt;=5,IFERROR(VLOOKUP(AK64,Equip!$A:$N,13,FALSE),0)&lt;=9),INT(VLOOKUP(AK64,Equip!$A:$N,6,FALSE)*SQRT(AO64)),0)</f>
        <v>0</v>
      </c>
      <c r="AU64">
        <f>IF(AND(IFERROR(VLOOKUP(AL64,Equip!$A:$N,13,FALSE),0)&gt;=5,IFERROR(VLOOKUP(AL64,Equip!$A:$N,13,FALSE),0)&lt;=9),INT(VLOOKUP(AL64,Equip!$A:$N,6,FALSE)*SQRT(AP64)),0)</f>
        <v>0</v>
      </c>
      <c r="AV64">
        <f>IF(AND(IFERROR(VLOOKUP(AM64,Equip!$A:$N,13,FALSE),0)&gt;=5,IFERROR(VLOOKUP(AM64,Equip!$A:$N,13,FALSE),0)&lt;=9),INT(VLOOKUP(AM64,Equip!$A:$N,6,FALSE)*SQRT(AQ64)),0)</f>
        <v>0</v>
      </c>
      <c r="AW64">
        <f t="shared" si="2"/>
        <v>0</v>
      </c>
      <c r="AX64">
        <f t="shared" si="3"/>
        <v>295</v>
      </c>
    </row>
    <row r="65" spans="1:50">
      <c r="A65">
        <v>26</v>
      </c>
      <c r="B65" t="s">
        <v>760</v>
      </c>
      <c r="C65" t="s">
        <v>760</v>
      </c>
      <c r="D65">
        <v>0</v>
      </c>
      <c r="E65">
        <v>2491</v>
      </c>
      <c r="F65">
        <v>1345</v>
      </c>
      <c r="G65">
        <v>26</v>
      </c>
      <c r="H65">
        <v>3</v>
      </c>
      <c r="I65">
        <v>1</v>
      </c>
      <c r="J65">
        <v>6</v>
      </c>
      <c r="K65">
        <v>8</v>
      </c>
      <c r="L65">
        <v>9</v>
      </c>
      <c r="M65">
        <v>67</v>
      </c>
      <c r="N65">
        <v>67</v>
      </c>
      <c r="O65">
        <v>74</v>
      </c>
      <c r="P65">
        <v>59</v>
      </c>
      <c r="Q65">
        <v>0</v>
      </c>
      <c r="R65">
        <v>19</v>
      </c>
      <c r="S65">
        <v>23</v>
      </c>
      <c r="T65">
        <v>0</v>
      </c>
      <c r="U65">
        <v>5</v>
      </c>
      <c r="V65">
        <v>9</v>
      </c>
      <c r="W65">
        <v>3</v>
      </c>
      <c r="X65">
        <v>5</v>
      </c>
      <c r="Y65">
        <v>0</v>
      </c>
      <c r="Z65">
        <v>85</v>
      </c>
      <c r="AA65">
        <v>120</v>
      </c>
      <c r="AB65">
        <v>94</v>
      </c>
      <c r="AC65">
        <v>0</v>
      </c>
      <c r="AD65">
        <v>79</v>
      </c>
      <c r="AE65">
        <v>79</v>
      </c>
      <c r="AF65">
        <v>39</v>
      </c>
      <c r="AG65">
        <v>39</v>
      </c>
      <c r="AH65">
        <v>0</v>
      </c>
      <c r="AI65">
        <v>33</v>
      </c>
      <c r="AJ65">
        <v>7</v>
      </c>
      <c r="AK65">
        <v>11</v>
      </c>
      <c r="AL65">
        <v>25</v>
      </c>
      <c r="AM65">
        <v>0</v>
      </c>
      <c r="AN65">
        <v>3</v>
      </c>
      <c r="AO65">
        <v>3</v>
      </c>
      <c r="AP65">
        <v>3</v>
      </c>
      <c r="AQ65">
        <v>3</v>
      </c>
      <c r="AR65">
        <f t="shared" si="9"/>
        <v>12</v>
      </c>
      <c r="AS65">
        <f>IF(AND(IFERROR(VLOOKUP(AJ65,Equip!$A:$N,13,FALSE),0)&gt;=5,IFERROR(VLOOKUP(AJ65,Equip!$A:$N,13,FALSE),0)&lt;=9),INT(VLOOKUP(AJ65,Equip!$A:$N,6,FALSE)*SQRT(AN65)),0)</f>
        <v>0</v>
      </c>
      <c r="AT65">
        <f>IF(AND(IFERROR(VLOOKUP(AK65,Equip!$A:$N,13,FALSE),0)&gt;=5,IFERROR(VLOOKUP(AK65,Equip!$A:$N,13,FALSE),0)&lt;=9),INT(VLOOKUP(AK65,Equip!$A:$N,6,FALSE)*SQRT(AO65)),0)</f>
        <v>0</v>
      </c>
      <c r="AU65">
        <f>IF(AND(IFERROR(VLOOKUP(AL65,Equip!$A:$N,13,FALSE),0)&gt;=5,IFERROR(VLOOKUP(AL65,Equip!$A:$N,13,FALSE),0)&lt;=9),INT(VLOOKUP(AL65,Equip!$A:$N,6,FALSE)*SQRT(AP65)),0)</f>
        <v>0</v>
      </c>
      <c r="AV65">
        <f>IF(AND(IFERROR(VLOOKUP(AM65,Equip!$A:$N,13,FALSE),0)&gt;=5,IFERROR(VLOOKUP(AM65,Equip!$A:$N,13,FALSE),0)&lt;=9),INT(VLOOKUP(AM65,Equip!$A:$N,6,FALSE)*SQRT(AQ65)),0)</f>
        <v>0</v>
      </c>
      <c r="AW65">
        <f t="shared" si="2"/>
        <v>0</v>
      </c>
      <c r="AX65">
        <f t="shared" si="3"/>
        <v>391</v>
      </c>
    </row>
    <row r="66" spans="1:50">
      <c r="A66">
        <v>26</v>
      </c>
      <c r="B66" t="s">
        <v>760</v>
      </c>
      <c r="C66" t="s">
        <v>760</v>
      </c>
      <c r="D66">
        <v>1</v>
      </c>
      <c r="E66">
        <f t="shared" ref="E66:E67" si="141">E65</f>
        <v>2491</v>
      </c>
      <c r="F66">
        <f t="shared" ref="F66:F67" si="142">F65</f>
        <v>1345</v>
      </c>
      <c r="G66">
        <f t="shared" ref="G66:G67" si="143">G65</f>
        <v>26</v>
      </c>
      <c r="H66">
        <f t="shared" ref="H66:H67" si="144">H65</f>
        <v>3</v>
      </c>
      <c r="I66">
        <f t="shared" ref="I66:I67" si="145">I65</f>
        <v>1</v>
      </c>
      <c r="J66">
        <f t="shared" ref="J66:J67" si="146">J65</f>
        <v>6</v>
      </c>
      <c r="K66">
        <v>7</v>
      </c>
      <c r="L66">
        <v>9</v>
      </c>
      <c r="M66">
        <v>75</v>
      </c>
      <c r="N66">
        <v>75</v>
      </c>
      <c r="O66">
        <v>65</v>
      </c>
      <c r="P66">
        <v>72</v>
      </c>
      <c r="Q66">
        <v>0</v>
      </c>
      <c r="R66">
        <v>33</v>
      </c>
      <c r="S66">
        <v>40</v>
      </c>
      <c r="T66">
        <v>0</v>
      </c>
      <c r="U66">
        <f t="shared" si="1"/>
        <v>5</v>
      </c>
      <c r="V66">
        <v>18</v>
      </c>
      <c r="W66">
        <f t="shared" si="1"/>
        <v>3</v>
      </c>
      <c r="X66">
        <v>10</v>
      </c>
      <c r="Y66">
        <f t="shared" si="1"/>
        <v>0</v>
      </c>
      <c r="Z66">
        <v>95</v>
      </c>
      <c r="AA66">
        <v>105</v>
      </c>
      <c r="AB66">
        <v>79</v>
      </c>
      <c r="AC66">
        <v>0</v>
      </c>
      <c r="AD66">
        <v>89</v>
      </c>
      <c r="AE66">
        <v>89</v>
      </c>
      <c r="AF66">
        <v>59</v>
      </c>
      <c r="AG66">
        <v>67</v>
      </c>
      <c r="AH66">
        <v>0</v>
      </c>
      <c r="AI66">
        <v>49</v>
      </c>
      <c r="AJ66">
        <v>7</v>
      </c>
      <c r="AK66">
        <v>26</v>
      </c>
      <c r="AL66">
        <v>25</v>
      </c>
      <c r="AM66">
        <v>0</v>
      </c>
      <c r="AN66">
        <v>10</v>
      </c>
      <c r="AO66">
        <v>10</v>
      </c>
      <c r="AP66">
        <v>10</v>
      </c>
      <c r="AQ66">
        <v>10</v>
      </c>
      <c r="AR66">
        <f t="shared" si="9"/>
        <v>40</v>
      </c>
      <c r="AS66">
        <f>IF(AND(IFERROR(VLOOKUP(AJ66,Equip!$A:$N,13,FALSE),0)&gt;=5,IFERROR(VLOOKUP(AJ66,Equip!$A:$N,13,FALSE),0)&lt;=9),INT(VLOOKUP(AJ66,Equip!$A:$N,6,FALSE)*SQRT(AN66)),0)</f>
        <v>0</v>
      </c>
      <c r="AT66">
        <f>IF(AND(IFERROR(VLOOKUP(AK66,Equip!$A:$N,13,FALSE),0)&gt;=5,IFERROR(VLOOKUP(AK66,Equip!$A:$N,13,FALSE),0)&lt;=9),INT(VLOOKUP(AK66,Equip!$A:$N,6,FALSE)*SQRT(AO66)),0)</f>
        <v>0</v>
      </c>
      <c r="AU66">
        <f>IF(AND(IFERROR(VLOOKUP(AL66,Equip!$A:$N,13,FALSE),0)&gt;=5,IFERROR(VLOOKUP(AL66,Equip!$A:$N,13,FALSE),0)&lt;=9),INT(VLOOKUP(AL66,Equip!$A:$N,6,FALSE)*SQRT(AP66)),0)</f>
        <v>0</v>
      </c>
      <c r="AV66">
        <f>IF(AND(IFERROR(VLOOKUP(AM66,Equip!$A:$N,13,FALSE),0)&gt;=5,IFERROR(VLOOKUP(AM66,Equip!$A:$N,13,FALSE),0)&lt;=9),INT(VLOOKUP(AM66,Equip!$A:$N,6,FALSE)*SQRT(AQ66)),0)</f>
        <v>0</v>
      </c>
      <c r="AW66">
        <f t="shared" si="2"/>
        <v>0</v>
      </c>
      <c r="AX66">
        <f t="shared" si="3"/>
        <v>448</v>
      </c>
    </row>
    <row r="67" spans="1:50">
      <c r="A67">
        <v>26</v>
      </c>
      <c r="B67" t="s">
        <v>760</v>
      </c>
      <c r="C67" t="s">
        <v>760</v>
      </c>
      <c r="D67">
        <v>2</v>
      </c>
      <c r="E67">
        <f t="shared" si="141"/>
        <v>2491</v>
      </c>
      <c r="F67">
        <f t="shared" si="142"/>
        <v>1345</v>
      </c>
      <c r="G67">
        <f t="shared" si="143"/>
        <v>26</v>
      </c>
      <c r="H67">
        <f t="shared" si="144"/>
        <v>3</v>
      </c>
      <c r="I67">
        <f t="shared" si="145"/>
        <v>1</v>
      </c>
      <c r="J67">
        <f t="shared" si="146"/>
        <v>6</v>
      </c>
      <c r="K67">
        <v>7</v>
      </c>
      <c r="L67">
        <v>9</v>
      </c>
      <c r="M67">
        <v>77</v>
      </c>
      <c r="N67">
        <v>77</v>
      </c>
      <c r="O67">
        <v>80</v>
      </c>
      <c r="P67">
        <v>84</v>
      </c>
      <c r="Q67">
        <v>0</v>
      </c>
      <c r="R67">
        <v>34</v>
      </c>
      <c r="S67">
        <v>44</v>
      </c>
      <c r="T67">
        <v>0</v>
      </c>
      <c r="U67">
        <f t="shared" si="1"/>
        <v>5</v>
      </c>
      <c r="V67">
        <v>45</v>
      </c>
      <c r="W67">
        <f t="shared" si="1"/>
        <v>3</v>
      </c>
      <c r="X67">
        <v>13</v>
      </c>
      <c r="Y67">
        <f t="shared" si="1"/>
        <v>0</v>
      </c>
      <c r="Z67">
        <v>105</v>
      </c>
      <c r="AA67">
        <v>140</v>
      </c>
      <c r="AB67">
        <v>99</v>
      </c>
      <c r="AC67">
        <v>0</v>
      </c>
      <c r="AD67">
        <v>88</v>
      </c>
      <c r="AE67">
        <v>90</v>
      </c>
      <c r="AF67">
        <v>69</v>
      </c>
      <c r="AG67">
        <v>69</v>
      </c>
      <c r="AH67">
        <v>0</v>
      </c>
      <c r="AI67">
        <v>59</v>
      </c>
      <c r="AJ67">
        <v>105</v>
      </c>
      <c r="AK67">
        <v>8</v>
      </c>
      <c r="AL67">
        <v>51</v>
      </c>
      <c r="AM67">
        <v>80</v>
      </c>
      <c r="AN67">
        <v>4</v>
      </c>
      <c r="AO67">
        <v>4</v>
      </c>
      <c r="AP67">
        <v>9</v>
      </c>
      <c r="AQ67">
        <v>23</v>
      </c>
      <c r="AR67">
        <f t="shared" si="9"/>
        <v>40</v>
      </c>
      <c r="AS67">
        <f>IF(AND(IFERROR(VLOOKUP(AJ67,Equip!$A:$N,13,FALSE),0)&gt;=5,IFERROR(VLOOKUP(AJ67,Equip!$A:$N,13,FALSE),0)&lt;=9),INT(VLOOKUP(AJ67,Equip!$A:$N,6,FALSE)*SQRT(AN67)),0)</f>
        <v>0</v>
      </c>
      <c r="AT67">
        <f>IF(AND(IFERROR(VLOOKUP(AK67,Equip!$A:$N,13,FALSE),0)&gt;=5,IFERROR(VLOOKUP(AK67,Equip!$A:$N,13,FALSE),0)&lt;=9),INT(VLOOKUP(AK67,Equip!$A:$N,6,FALSE)*SQRT(AO67)),0)</f>
        <v>0</v>
      </c>
      <c r="AU67">
        <f>IF(AND(IFERROR(VLOOKUP(AL67,Equip!$A:$N,13,FALSE),0)&gt;=5,IFERROR(VLOOKUP(AL67,Equip!$A:$N,13,FALSE),0)&lt;=9),INT(VLOOKUP(AL67,Equip!$A:$N,6,FALSE)*SQRT(AP67)),0)</f>
        <v>0</v>
      </c>
      <c r="AV67">
        <f>IF(AND(IFERROR(VLOOKUP(AM67,Equip!$A:$N,13,FALSE),0)&gt;=5,IFERROR(VLOOKUP(AM67,Equip!$A:$N,13,FALSE),0)&lt;=9),INT(VLOOKUP(AM67,Equip!$A:$N,6,FALSE)*SQRT(AQ67)),0)</f>
        <v>0</v>
      </c>
      <c r="AW67">
        <f t="shared" si="2"/>
        <v>0</v>
      </c>
      <c r="AX67">
        <f t="shared" si="3"/>
        <v>482</v>
      </c>
    </row>
    <row r="68" spans="1:50">
      <c r="A68">
        <v>27</v>
      </c>
      <c r="B68" t="s">
        <v>761</v>
      </c>
      <c r="C68" t="s">
        <v>761</v>
      </c>
      <c r="D68">
        <v>0</v>
      </c>
      <c r="E68">
        <v>2491</v>
      </c>
      <c r="F68">
        <v>1345</v>
      </c>
      <c r="G68">
        <v>27</v>
      </c>
      <c r="H68">
        <v>2</v>
      </c>
      <c r="I68">
        <v>1</v>
      </c>
      <c r="J68">
        <v>2</v>
      </c>
      <c r="K68">
        <v>8</v>
      </c>
      <c r="L68">
        <v>9</v>
      </c>
      <c r="M68">
        <v>67</v>
      </c>
      <c r="N68">
        <v>67</v>
      </c>
      <c r="O68">
        <v>74</v>
      </c>
      <c r="P68">
        <v>59</v>
      </c>
      <c r="Q68">
        <v>0</v>
      </c>
      <c r="R68">
        <v>19</v>
      </c>
      <c r="S68">
        <v>23</v>
      </c>
      <c r="T68">
        <v>0</v>
      </c>
      <c r="U68">
        <v>5</v>
      </c>
      <c r="V68">
        <v>9</v>
      </c>
      <c r="W68">
        <v>3</v>
      </c>
      <c r="X68">
        <v>5</v>
      </c>
      <c r="Y68">
        <v>0</v>
      </c>
      <c r="Z68">
        <v>85</v>
      </c>
      <c r="AA68">
        <v>120</v>
      </c>
      <c r="AB68">
        <v>94</v>
      </c>
      <c r="AC68">
        <v>0</v>
      </c>
      <c r="AD68">
        <v>79</v>
      </c>
      <c r="AE68">
        <v>79</v>
      </c>
      <c r="AF68">
        <v>39</v>
      </c>
      <c r="AG68">
        <v>39</v>
      </c>
      <c r="AH68">
        <v>0</v>
      </c>
      <c r="AI68">
        <v>33</v>
      </c>
      <c r="AJ68">
        <v>7</v>
      </c>
      <c r="AK68">
        <v>11</v>
      </c>
      <c r="AL68">
        <v>25</v>
      </c>
      <c r="AM68">
        <v>0</v>
      </c>
      <c r="AN68">
        <v>3</v>
      </c>
      <c r="AO68">
        <v>3</v>
      </c>
      <c r="AP68">
        <v>3</v>
      </c>
      <c r="AQ68">
        <v>3</v>
      </c>
      <c r="AR68">
        <f t="shared" si="9"/>
        <v>12</v>
      </c>
      <c r="AS68">
        <f>IF(AND(IFERROR(VLOOKUP(AJ68,Equip!$A:$N,13,FALSE),0)&gt;=5,IFERROR(VLOOKUP(AJ68,Equip!$A:$N,13,FALSE),0)&lt;=9),INT(VLOOKUP(AJ68,Equip!$A:$N,6,FALSE)*SQRT(AN68)),0)</f>
        <v>0</v>
      </c>
      <c r="AT68">
        <f>IF(AND(IFERROR(VLOOKUP(AK68,Equip!$A:$N,13,FALSE),0)&gt;=5,IFERROR(VLOOKUP(AK68,Equip!$A:$N,13,FALSE),0)&lt;=9),INT(VLOOKUP(AK68,Equip!$A:$N,6,FALSE)*SQRT(AO68)),0)</f>
        <v>0</v>
      </c>
      <c r="AU68">
        <f>IF(AND(IFERROR(VLOOKUP(AL68,Equip!$A:$N,13,FALSE),0)&gt;=5,IFERROR(VLOOKUP(AL68,Equip!$A:$N,13,FALSE),0)&lt;=9),INT(VLOOKUP(AL68,Equip!$A:$N,6,FALSE)*SQRT(AP68)),0)</f>
        <v>0</v>
      </c>
      <c r="AV68">
        <f>IF(AND(IFERROR(VLOOKUP(AM68,Equip!$A:$N,13,FALSE),0)&gt;=5,IFERROR(VLOOKUP(AM68,Equip!$A:$N,13,FALSE),0)&lt;=9),INT(VLOOKUP(AM68,Equip!$A:$N,6,FALSE)*SQRT(AQ68)),0)</f>
        <v>0</v>
      </c>
      <c r="AW68">
        <f t="shared" ref="AW68:AW131" si="147">SUM(AS68:AV68)</f>
        <v>0</v>
      </c>
      <c r="AX68">
        <f t="shared" ref="AX68:AX131" si="148">SUM(N68,AB68:AE68,AG68:AI68)</f>
        <v>391</v>
      </c>
    </row>
    <row r="69" spans="1:50">
      <c r="A69">
        <v>27</v>
      </c>
      <c r="B69" t="s">
        <v>761</v>
      </c>
      <c r="C69" t="s">
        <v>761</v>
      </c>
      <c r="D69">
        <v>1</v>
      </c>
      <c r="E69">
        <f t="shared" ref="E69:E70" si="149">E68</f>
        <v>2491</v>
      </c>
      <c r="F69">
        <f t="shared" ref="F69:F70" si="150">F68</f>
        <v>1345</v>
      </c>
      <c r="G69">
        <f t="shared" ref="G69:G70" si="151">G68</f>
        <v>27</v>
      </c>
      <c r="H69">
        <f t="shared" ref="H69:H70" si="152">H68</f>
        <v>2</v>
      </c>
      <c r="I69">
        <f t="shared" ref="I69:I70" si="153">I68</f>
        <v>1</v>
      </c>
      <c r="J69">
        <f t="shared" ref="J69:J70" si="154">J68</f>
        <v>2</v>
      </c>
      <c r="K69">
        <v>7</v>
      </c>
      <c r="L69">
        <v>9</v>
      </c>
      <c r="M69">
        <v>75</v>
      </c>
      <c r="N69">
        <v>75</v>
      </c>
      <c r="O69">
        <v>65</v>
      </c>
      <c r="P69">
        <v>74</v>
      </c>
      <c r="Q69">
        <v>0</v>
      </c>
      <c r="R69">
        <v>39</v>
      </c>
      <c r="S69">
        <v>44</v>
      </c>
      <c r="T69">
        <v>0</v>
      </c>
      <c r="U69">
        <f t="shared" si="1"/>
        <v>5</v>
      </c>
      <c r="V69">
        <v>24</v>
      </c>
      <c r="W69">
        <f t="shared" si="1"/>
        <v>3</v>
      </c>
      <c r="X69">
        <v>10</v>
      </c>
      <c r="Y69">
        <f t="shared" si="1"/>
        <v>0</v>
      </c>
      <c r="Z69">
        <v>95</v>
      </c>
      <c r="AA69">
        <v>105</v>
      </c>
      <c r="AB69">
        <v>79</v>
      </c>
      <c r="AC69">
        <v>0</v>
      </c>
      <c r="AD69">
        <v>89</v>
      </c>
      <c r="AE69">
        <v>89</v>
      </c>
      <c r="AF69">
        <v>59</v>
      </c>
      <c r="AG69">
        <v>67</v>
      </c>
      <c r="AH69">
        <v>0</v>
      </c>
      <c r="AI69">
        <v>49</v>
      </c>
      <c r="AJ69">
        <v>7</v>
      </c>
      <c r="AK69">
        <v>26</v>
      </c>
      <c r="AL69">
        <v>25</v>
      </c>
      <c r="AM69">
        <v>0</v>
      </c>
      <c r="AN69">
        <v>10</v>
      </c>
      <c r="AO69">
        <v>10</v>
      </c>
      <c r="AP69">
        <v>10</v>
      </c>
      <c r="AQ69">
        <v>10</v>
      </c>
      <c r="AR69">
        <f t="shared" si="9"/>
        <v>40</v>
      </c>
      <c r="AS69">
        <f>IF(AND(IFERROR(VLOOKUP(AJ69,Equip!$A:$N,13,FALSE),0)&gt;=5,IFERROR(VLOOKUP(AJ69,Equip!$A:$N,13,FALSE),0)&lt;=9),INT(VLOOKUP(AJ69,Equip!$A:$N,6,FALSE)*SQRT(AN69)),0)</f>
        <v>0</v>
      </c>
      <c r="AT69">
        <f>IF(AND(IFERROR(VLOOKUP(AK69,Equip!$A:$N,13,FALSE),0)&gt;=5,IFERROR(VLOOKUP(AK69,Equip!$A:$N,13,FALSE),0)&lt;=9),INT(VLOOKUP(AK69,Equip!$A:$N,6,FALSE)*SQRT(AO69)),0)</f>
        <v>0</v>
      </c>
      <c r="AU69">
        <f>IF(AND(IFERROR(VLOOKUP(AL69,Equip!$A:$N,13,FALSE),0)&gt;=5,IFERROR(VLOOKUP(AL69,Equip!$A:$N,13,FALSE),0)&lt;=9),INT(VLOOKUP(AL69,Equip!$A:$N,6,FALSE)*SQRT(AP69)),0)</f>
        <v>0</v>
      </c>
      <c r="AV69">
        <f>IF(AND(IFERROR(VLOOKUP(AM69,Equip!$A:$N,13,FALSE),0)&gt;=5,IFERROR(VLOOKUP(AM69,Equip!$A:$N,13,FALSE),0)&lt;=9),INT(VLOOKUP(AM69,Equip!$A:$N,6,FALSE)*SQRT(AQ69)),0)</f>
        <v>0</v>
      </c>
      <c r="AW69">
        <f t="shared" si="147"/>
        <v>0</v>
      </c>
      <c r="AX69">
        <f t="shared" si="148"/>
        <v>448</v>
      </c>
    </row>
    <row r="70" spans="1:50">
      <c r="A70">
        <v>27</v>
      </c>
      <c r="B70" t="s">
        <v>761</v>
      </c>
      <c r="C70" t="s">
        <v>761</v>
      </c>
      <c r="D70">
        <v>2</v>
      </c>
      <c r="E70">
        <f t="shared" si="149"/>
        <v>2491</v>
      </c>
      <c r="F70">
        <f t="shared" si="150"/>
        <v>1345</v>
      </c>
      <c r="G70">
        <f t="shared" si="151"/>
        <v>27</v>
      </c>
      <c r="H70">
        <f t="shared" si="152"/>
        <v>2</v>
      </c>
      <c r="I70">
        <f t="shared" si="153"/>
        <v>1</v>
      </c>
      <c r="J70">
        <f t="shared" si="154"/>
        <v>2</v>
      </c>
      <c r="K70">
        <v>7</v>
      </c>
      <c r="L70">
        <v>9</v>
      </c>
      <c r="M70">
        <v>77</v>
      </c>
      <c r="N70">
        <v>77</v>
      </c>
      <c r="O70">
        <v>86</v>
      </c>
      <c r="P70">
        <v>85</v>
      </c>
      <c r="Q70">
        <v>0</v>
      </c>
      <c r="R70">
        <v>62</v>
      </c>
      <c r="S70">
        <v>58</v>
      </c>
      <c r="T70">
        <v>0</v>
      </c>
      <c r="U70">
        <f t="shared" ref="U70" si="155">U69</f>
        <v>5</v>
      </c>
      <c r="V70">
        <v>52</v>
      </c>
      <c r="W70">
        <f t="shared" ref="W70" si="156">W69</f>
        <v>3</v>
      </c>
      <c r="X70">
        <v>14</v>
      </c>
      <c r="Y70">
        <f t="shared" ref="Y70" si="157">Y69</f>
        <v>0</v>
      </c>
      <c r="Z70">
        <v>105</v>
      </c>
      <c r="AA70">
        <v>140</v>
      </c>
      <c r="AB70">
        <v>98</v>
      </c>
      <c r="AC70">
        <v>0</v>
      </c>
      <c r="AD70">
        <v>87</v>
      </c>
      <c r="AE70">
        <v>91</v>
      </c>
      <c r="AF70">
        <v>70</v>
      </c>
      <c r="AG70">
        <v>69</v>
      </c>
      <c r="AH70">
        <v>0</v>
      </c>
      <c r="AI70">
        <v>59</v>
      </c>
      <c r="AJ70">
        <v>105</v>
      </c>
      <c r="AK70">
        <v>8</v>
      </c>
      <c r="AL70">
        <v>74</v>
      </c>
      <c r="AM70">
        <v>80</v>
      </c>
      <c r="AN70">
        <v>4</v>
      </c>
      <c r="AO70">
        <v>4</v>
      </c>
      <c r="AP70">
        <v>9</v>
      </c>
      <c r="AQ70">
        <v>23</v>
      </c>
      <c r="AR70">
        <f t="shared" ref="AR70:AR133" si="158">SUM(AN70:AQ70)</f>
        <v>40</v>
      </c>
      <c r="AS70">
        <f>IF(AND(IFERROR(VLOOKUP(AJ70,Equip!$A:$N,13,FALSE),0)&gt;=5,IFERROR(VLOOKUP(AJ70,Equip!$A:$N,13,FALSE),0)&lt;=9),INT(VLOOKUP(AJ70,Equip!$A:$N,6,FALSE)*SQRT(AN70)),0)</f>
        <v>0</v>
      </c>
      <c r="AT70">
        <f>IF(AND(IFERROR(VLOOKUP(AK70,Equip!$A:$N,13,FALSE),0)&gt;=5,IFERROR(VLOOKUP(AK70,Equip!$A:$N,13,FALSE),0)&lt;=9),INT(VLOOKUP(AK70,Equip!$A:$N,6,FALSE)*SQRT(AO70)),0)</f>
        <v>0</v>
      </c>
      <c r="AU70">
        <f>IF(AND(IFERROR(VLOOKUP(AL70,Equip!$A:$N,13,FALSE),0)&gt;=5,IFERROR(VLOOKUP(AL70,Equip!$A:$N,13,FALSE),0)&lt;=9),INT(VLOOKUP(AL70,Equip!$A:$N,6,FALSE)*SQRT(AP70)),0)</f>
        <v>0</v>
      </c>
      <c r="AV70">
        <f>IF(AND(IFERROR(VLOOKUP(AM70,Equip!$A:$N,13,FALSE),0)&gt;=5,IFERROR(VLOOKUP(AM70,Equip!$A:$N,13,FALSE),0)&lt;=9),INT(VLOOKUP(AM70,Equip!$A:$N,6,FALSE)*SQRT(AQ70)),0)</f>
        <v>0</v>
      </c>
      <c r="AW70">
        <f t="shared" si="147"/>
        <v>0</v>
      </c>
      <c r="AX70">
        <f t="shared" si="148"/>
        <v>481</v>
      </c>
    </row>
    <row r="71" spans="1:50">
      <c r="A71">
        <v>28</v>
      </c>
      <c r="B71" t="s">
        <v>762</v>
      </c>
      <c r="C71" t="s">
        <v>762</v>
      </c>
      <c r="D71">
        <v>0</v>
      </c>
      <c r="E71">
        <v>1542</v>
      </c>
      <c r="F71">
        <v>871</v>
      </c>
      <c r="G71">
        <v>28</v>
      </c>
      <c r="H71">
        <v>2</v>
      </c>
      <c r="I71">
        <v>1</v>
      </c>
      <c r="J71">
        <v>4</v>
      </c>
      <c r="K71">
        <v>2</v>
      </c>
      <c r="L71">
        <v>2</v>
      </c>
      <c r="M71">
        <v>23</v>
      </c>
      <c r="N71">
        <v>23</v>
      </c>
      <c r="O71">
        <v>11</v>
      </c>
      <c r="P71">
        <v>7</v>
      </c>
      <c r="Q71">
        <v>18</v>
      </c>
      <c r="R71">
        <v>35</v>
      </c>
      <c r="S71">
        <v>8</v>
      </c>
      <c r="T71">
        <v>18</v>
      </c>
      <c r="U71">
        <v>10</v>
      </c>
      <c r="V71">
        <v>7</v>
      </c>
      <c r="W71">
        <v>2</v>
      </c>
      <c r="X71">
        <v>17</v>
      </c>
      <c r="Y71">
        <v>0</v>
      </c>
      <c r="Z71">
        <v>25</v>
      </c>
      <c r="AA71">
        <v>20</v>
      </c>
      <c r="AB71">
        <v>39</v>
      </c>
      <c r="AC71">
        <v>59</v>
      </c>
      <c r="AD71">
        <v>39</v>
      </c>
      <c r="AE71">
        <v>29</v>
      </c>
      <c r="AF71">
        <v>49</v>
      </c>
      <c r="AG71">
        <v>69</v>
      </c>
      <c r="AH71">
        <v>59</v>
      </c>
      <c r="AI71">
        <v>19</v>
      </c>
      <c r="AJ71">
        <v>4</v>
      </c>
      <c r="AK71">
        <v>37</v>
      </c>
      <c r="AL71">
        <v>-1</v>
      </c>
      <c r="AM71">
        <v>-1</v>
      </c>
      <c r="AN71">
        <v>0</v>
      </c>
      <c r="AO71">
        <v>0</v>
      </c>
      <c r="AP71">
        <v>0</v>
      </c>
      <c r="AQ71">
        <v>0</v>
      </c>
      <c r="AR71">
        <f t="shared" si="158"/>
        <v>0</v>
      </c>
      <c r="AS71">
        <f>IF(AND(IFERROR(VLOOKUP(AJ71,Equip!$A:$N,13,FALSE),0)&gt;=5,IFERROR(VLOOKUP(AJ71,Equip!$A:$N,13,FALSE),0)&lt;=9),INT(VLOOKUP(AJ71,Equip!$A:$N,6,FALSE)*SQRT(AN71)),0)</f>
        <v>0</v>
      </c>
      <c r="AT71">
        <f>IF(AND(IFERROR(VLOOKUP(AK71,Equip!$A:$N,13,FALSE),0)&gt;=5,IFERROR(VLOOKUP(AK71,Equip!$A:$N,13,FALSE),0)&lt;=9),INT(VLOOKUP(AK71,Equip!$A:$N,6,FALSE)*SQRT(AO71)),0)</f>
        <v>0</v>
      </c>
      <c r="AU71">
        <f>IF(AND(IFERROR(VLOOKUP(AL71,Equip!$A:$N,13,FALSE),0)&gt;=5,IFERROR(VLOOKUP(AL71,Equip!$A:$N,13,FALSE),0)&lt;=9),INT(VLOOKUP(AL71,Equip!$A:$N,6,FALSE)*SQRT(AP71)),0)</f>
        <v>0</v>
      </c>
      <c r="AV71">
        <f>IF(AND(IFERROR(VLOOKUP(AM71,Equip!$A:$N,13,FALSE),0)&gt;=5,IFERROR(VLOOKUP(AM71,Equip!$A:$N,13,FALSE),0)&lt;=9),INT(VLOOKUP(AM71,Equip!$A:$N,6,FALSE)*SQRT(AQ71)),0)</f>
        <v>0</v>
      </c>
      <c r="AW71">
        <f t="shared" si="147"/>
        <v>0</v>
      </c>
      <c r="AX71">
        <f t="shared" si="148"/>
        <v>336</v>
      </c>
    </row>
    <row r="72" spans="1:50">
      <c r="A72">
        <v>28</v>
      </c>
      <c r="B72" t="s">
        <v>762</v>
      </c>
      <c r="C72" t="s">
        <v>762</v>
      </c>
      <c r="D72">
        <v>1</v>
      </c>
      <c r="E72">
        <f>E71</f>
        <v>1542</v>
      </c>
      <c r="F72">
        <f t="shared" ref="F72" si="159">F71</f>
        <v>871</v>
      </c>
      <c r="G72">
        <f t="shared" ref="G72" si="160">G71</f>
        <v>28</v>
      </c>
      <c r="H72">
        <f t="shared" ref="H72" si="161">H71</f>
        <v>2</v>
      </c>
      <c r="I72">
        <f t="shared" ref="I72" si="162">I71</f>
        <v>1</v>
      </c>
      <c r="J72">
        <f t="shared" ref="J72" si="163">J71</f>
        <v>4</v>
      </c>
      <c r="K72">
        <v>2</v>
      </c>
      <c r="L72">
        <v>2</v>
      </c>
      <c r="M72">
        <v>40</v>
      </c>
      <c r="N72">
        <v>40</v>
      </c>
      <c r="O72">
        <v>27</v>
      </c>
      <c r="P72">
        <v>34</v>
      </c>
      <c r="Q72">
        <v>33</v>
      </c>
      <c r="R72">
        <v>49</v>
      </c>
      <c r="S72">
        <v>15</v>
      </c>
      <c r="T72">
        <v>33</v>
      </c>
      <c r="U72">
        <f t="shared" ref="U72" si="164">U71</f>
        <v>10</v>
      </c>
      <c r="V72">
        <v>17</v>
      </c>
      <c r="W72">
        <f t="shared" ref="W72" si="165">W71</f>
        <v>2</v>
      </c>
      <c r="X72">
        <v>12</v>
      </c>
      <c r="Y72">
        <f t="shared" ref="Y72" si="166">Y71</f>
        <v>0</v>
      </c>
      <c r="Z72">
        <v>25</v>
      </c>
      <c r="AA72">
        <v>25</v>
      </c>
      <c r="AB72">
        <v>59</v>
      </c>
      <c r="AC72">
        <v>79</v>
      </c>
      <c r="AD72">
        <v>49</v>
      </c>
      <c r="AE72">
        <v>59</v>
      </c>
      <c r="AF72">
        <v>59</v>
      </c>
      <c r="AG72">
        <v>79</v>
      </c>
      <c r="AH72">
        <v>69</v>
      </c>
      <c r="AI72">
        <v>49</v>
      </c>
      <c r="AJ72">
        <v>4</v>
      </c>
      <c r="AK72">
        <v>10</v>
      </c>
      <c r="AL72">
        <v>15</v>
      </c>
      <c r="AM72">
        <v>-1</v>
      </c>
      <c r="AN72">
        <v>0</v>
      </c>
      <c r="AO72">
        <v>0</v>
      </c>
      <c r="AP72">
        <v>0</v>
      </c>
      <c r="AQ72">
        <v>0</v>
      </c>
      <c r="AR72">
        <f t="shared" si="158"/>
        <v>0</v>
      </c>
      <c r="AS72">
        <f>IF(AND(IFERROR(VLOOKUP(AJ72,Equip!$A:$N,13,FALSE),0)&gt;=5,IFERROR(VLOOKUP(AJ72,Equip!$A:$N,13,FALSE),0)&lt;=9),INT(VLOOKUP(AJ72,Equip!$A:$N,6,FALSE)*SQRT(AN72)),0)</f>
        <v>0</v>
      </c>
      <c r="AT72">
        <f>IF(AND(IFERROR(VLOOKUP(AK72,Equip!$A:$N,13,FALSE),0)&gt;=5,IFERROR(VLOOKUP(AK72,Equip!$A:$N,13,FALSE),0)&lt;=9),INT(VLOOKUP(AK72,Equip!$A:$N,6,FALSE)*SQRT(AO72)),0)</f>
        <v>0</v>
      </c>
      <c r="AU72">
        <f>IF(AND(IFERROR(VLOOKUP(AL72,Equip!$A:$N,13,FALSE),0)&gt;=5,IFERROR(VLOOKUP(AL72,Equip!$A:$N,13,FALSE),0)&lt;=9),INT(VLOOKUP(AL72,Equip!$A:$N,6,FALSE)*SQRT(AP72)),0)</f>
        <v>0</v>
      </c>
      <c r="AV72">
        <f>IF(AND(IFERROR(VLOOKUP(AM72,Equip!$A:$N,13,FALSE),0)&gt;=5,IFERROR(VLOOKUP(AM72,Equip!$A:$N,13,FALSE),0)&lt;=9),INT(VLOOKUP(AM72,Equip!$A:$N,6,FALSE)*SQRT(AQ72)),0)</f>
        <v>0</v>
      </c>
      <c r="AW72">
        <f t="shared" si="147"/>
        <v>0</v>
      </c>
      <c r="AX72">
        <f t="shared" si="148"/>
        <v>483</v>
      </c>
    </row>
    <row r="73" spans="1:50">
      <c r="A73">
        <v>29</v>
      </c>
      <c r="B73" t="s">
        <v>763</v>
      </c>
      <c r="C73" t="s">
        <v>763</v>
      </c>
      <c r="D73">
        <v>0</v>
      </c>
      <c r="E73">
        <v>1542</v>
      </c>
      <c r="F73">
        <v>871</v>
      </c>
      <c r="G73">
        <v>29</v>
      </c>
      <c r="H73">
        <v>2</v>
      </c>
      <c r="I73">
        <v>1</v>
      </c>
      <c r="J73">
        <v>12</v>
      </c>
      <c r="K73">
        <v>2</v>
      </c>
      <c r="L73">
        <v>2</v>
      </c>
      <c r="M73">
        <v>23</v>
      </c>
      <c r="N73">
        <v>23</v>
      </c>
      <c r="O73">
        <v>11</v>
      </c>
      <c r="P73">
        <v>7</v>
      </c>
      <c r="Q73">
        <v>18</v>
      </c>
      <c r="R73">
        <v>35</v>
      </c>
      <c r="S73">
        <v>8</v>
      </c>
      <c r="T73">
        <v>18</v>
      </c>
      <c r="U73">
        <v>10</v>
      </c>
      <c r="V73">
        <v>7</v>
      </c>
      <c r="W73">
        <v>2</v>
      </c>
      <c r="X73">
        <v>17</v>
      </c>
      <c r="Y73">
        <v>0</v>
      </c>
      <c r="Z73">
        <v>25</v>
      </c>
      <c r="AA73">
        <v>20</v>
      </c>
      <c r="AB73">
        <v>39</v>
      </c>
      <c r="AC73">
        <v>59</v>
      </c>
      <c r="AD73">
        <v>39</v>
      </c>
      <c r="AE73">
        <v>29</v>
      </c>
      <c r="AF73">
        <v>49</v>
      </c>
      <c r="AG73">
        <v>69</v>
      </c>
      <c r="AH73">
        <v>59</v>
      </c>
      <c r="AI73">
        <v>19</v>
      </c>
      <c r="AJ73">
        <v>4</v>
      </c>
      <c r="AK73">
        <v>37</v>
      </c>
      <c r="AL73">
        <v>-1</v>
      </c>
      <c r="AM73">
        <v>-1</v>
      </c>
      <c r="AN73">
        <v>0</v>
      </c>
      <c r="AO73">
        <v>0</v>
      </c>
      <c r="AP73">
        <v>0</v>
      </c>
      <c r="AQ73">
        <v>0</v>
      </c>
      <c r="AR73">
        <f t="shared" si="158"/>
        <v>0</v>
      </c>
      <c r="AS73">
        <f>IF(AND(IFERROR(VLOOKUP(AJ73,Equip!$A:$N,13,FALSE),0)&gt;=5,IFERROR(VLOOKUP(AJ73,Equip!$A:$N,13,FALSE),0)&lt;=9),INT(VLOOKUP(AJ73,Equip!$A:$N,6,FALSE)*SQRT(AN73)),0)</f>
        <v>0</v>
      </c>
      <c r="AT73">
        <f>IF(AND(IFERROR(VLOOKUP(AK73,Equip!$A:$N,13,FALSE),0)&gt;=5,IFERROR(VLOOKUP(AK73,Equip!$A:$N,13,FALSE),0)&lt;=9),INT(VLOOKUP(AK73,Equip!$A:$N,6,FALSE)*SQRT(AO73)),0)</f>
        <v>0</v>
      </c>
      <c r="AU73">
        <f>IF(AND(IFERROR(VLOOKUP(AL73,Equip!$A:$N,13,FALSE),0)&gt;=5,IFERROR(VLOOKUP(AL73,Equip!$A:$N,13,FALSE),0)&lt;=9),INT(VLOOKUP(AL73,Equip!$A:$N,6,FALSE)*SQRT(AP73)),0)</f>
        <v>0</v>
      </c>
      <c r="AV73">
        <f>IF(AND(IFERROR(VLOOKUP(AM73,Equip!$A:$N,13,FALSE),0)&gt;=5,IFERROR(VLOOKUP(AM73,Equip!$A:$N,13,FALSE),0)&lt;=9),INT(VLOOKUP(AM73,Equip!$A:$N,6,FALSE)*SQRT(AQ73)),0)</f>
        <v>0</v>
      </c>
      <c r="AW73">
        <f t="shared" si="147"/>
        <v>0</v>
      </c>
      <c r="AX73">
        <f t="shared" si="148"/>
        <v>336</v>
      </c>
    </row>
    <row r="74" spans="1:50">
      <c r="A74">
        <v>29</v>
      </c>
      <c r="B74" t="s">
        <v>763</v>
      </c>
      <c r="C74" t="s">
        <v>763</v>
      </c>
      <c r="D74">
        <v>1</v>
      </c>
      <c r="E74">
        <f>E73</f>
        <v>1542</v>
      </c>
      <c r="F74">
        <f t="shared" ref="F74" si="167">F73</f>
        <v>871</v>
      </c>
      <c r="G74">
        <f t="shared" ref="G74" si="168">G73</f>
        <v>29</v>
      </c>
      <c r="H74">
        <f t="shared" ref="H74" si="169">H73</f>
        <v>2</v>
      </c>
      <c r="I74">
        <f t="shared" ref="I74" si="170">I73</f>
        <v>1</v>
      </c>
      <c r="J74">
        <f t="shared" ref="J74" si="171">J73</f>
        <v>12</v>
      </c>
      <c r="K74">
        <v>2</v>
      </c>
      <c r="L74">
        <v>2</v>
      </c>
      <c r="M74">
        <v>40</v>
      </c>
      <c r="N74">
        <v>40</v>
      </c>
      <c r="O74">
        <v>24</v>
      </c>
      <c r="P74">
        <v>31</v>
      </c>
      <c r="Q74">
        <v>29</v>
      </c>
      <c r="R74">
        <v>49</v>
      </c>
      <c r="S74">
        <v>15</v>
      </c>
      <c r="T74">
        <v>33</v>
      </c>
      <c r="U74">
        <f t="shared" ref="U74" si="172">U73</f>
        <v>10</v>
      </c>
      <c r="V74">
        <v>17</v>
      </c>
      <c r="W74">
        <f t="shared" ref="W74" si="173">W73</f>
        <v>2</v>
      </c>
      <c r="X74">
        <v>12</v>
      </c>
      <c r="Y74">
        <f t="shared" ref="Y74" si="174">Y73</f>
        <v>0</v>
      </c>
      <c r="Z74">
        <v>25</v>
      </c>
      <c r="AA74">
        <v>25</v>
      </c>
      <c r="AB74">
        <v>59</v>
      </c>
      <c r="AC74">
        <v>79</v>
      </c>
      <c r="AD74">
        <v>49</v>
      </c>
      <c r="AE74">
        <v>59</v>
      </c>
      <c r="AF74">
        <v>59</v>
      </c>
      <c r="AG74">
        <v>79</v>
      </c>
      <c r="AH74">
        <v>69</v>
      </c>
      <c r="AI74">
        <v>49</v>
      </c>
      <c r="AJ74">
        <v>4</v>
      </c>
      <c r="AK74">
        <v>10</v>
      </c>
      <c r="AL74">
        <v>15</v>
      </c>
      <c r="AM74">
        <v>-1</v>
      </c>
      <c r="AN74">
        <v>0</v>
      </c>
      <c r="AO74">
        <v>0</v>
      </c>
      <c r="AP74">
        <v>0</v>
      </c>
      <c r="AQ74">
        <v>0</v>
      </c>
      <c r="AR74">
        <f t="shared" si="158"/>
        <v>0</v>
      </c>
      <c r="AS74">
        <f>IF(AND(IFERROR(VLOOKUP(AJ74,Equip!$A:$N,13,FALSE),0)&gt;=5,IFERROR(VLOOKUP(AJ74,Equip!$A:$N,13,FALSE),0)&lt;=9),INT(VLOOKUP(AJ74,Equip!$A:$N,6,FALSE)*SQRT(AN74)),0)</f>
        <v>0</v>
      </c>
      <c r="AT74">
        <f>IF(AND(IFERROR(VLOOKUP(AK74,Equip!$A:$N,13,FALSE),0)&gt;=5,IFERROR(VLOOKUP(AK74,Equip!$A:$N,13,FALSE),0)&lt;=9),INT(VLOOKUP(AK74,Equip!$A:$N,6,FALSE)*SQRT(AO74)),0)</f>
        <v>0</v>
      </c>
      <c r="AU74">
        <f>IF(AND(IFERROR(VLOOKUP(AL74,Equip!$A:$N,13,FALSE),0)&gt;=5,IFERROR(VLOOKUP(AL74,Equip!$A:$N,13,FALSE),0)&lt;=9),INT(VLOOKUP(AL74,Equip!$A:$N,6,FALSE)*SQRT(AP74)),0)</f>
        <v>0</v>
      </c>
      <c r="AV74">
        <f>IF(AND(IFERROR(VLOOKUP(AM74,Equip!$A:$N,13,FALSE),0)&gt;=5,IFERROR(VLOOKUP(AM74,Equip!$A:$N,13,FALSE),0)&lt;=9),INT(VLOOKUP(AM74,Equip!$A:$N,6,FALSE)*SQRT(AQ74)),0)</f>
        <v>0</v>
      </c>
      <c r="AW74">
        <f t="shared" si="147"/>
        <v>0</v>
      </c>
      <c r="AX74">
        <f t="shared" si="148"/>
        <v>483</v>
      </c>
    </row>
    <row r="75" spans="1:50">
      <c r="A75">
        <v>30</v>
      </c>
      <c r="B75" t="s">
        <v>764</v>
      </c>
      <c r="C75" t="s">
        <v>764</v>
      </c>
      <c r="D75">
        <v>0</v>
      </c>
      <c r="E75">
        <v>1758</v>
      </c>
      <c r="F75">
        <v>979</v>
      </c>
      <c r="G75">
        <v>30</v>
      </c>
      <c r="H75">
        <v>0</v>
      </c>
      <c r="I75">
        <v>1</v>
      </c>
      <c r="J75">
        <v>3</v>
      </c>
      <c r="K75">
        <v>9</v>
      </c>
      <c r="L75">
        <v>4</v>
      </c>
      <c r="M75">
        <v>31</v>
      </c>
      <c r="N75">
        <v>31</v>
      </c>
      <c r="O75">
        <v>0</v>
      </c>
      <c r="P75">
        <v>17</v>
      </c>
      <c r="Q75">
        <v>0</v>
      </c>
      <c r="R75">
        <v>27</v>
      </c>
      <c r="S75">
        <v>16</v>
      </c>
      <c r="T75">
        <v>0</v>
      </c>
      <c r="U75">
        <v>10</v>
      </c>
      <c r="V75">
        <v>34</v>
      </c>
      <c r="W75">
        <v>1</v>
      </c>
      <c r="X75">
        <v>10</v>
      </c>
      <c r="Y75">
        <v>0</v>
      </c>
      <c r="Z75">
        <v>35</v>
      </c>
      <c r="AA75">
        <v>35</v>
      </c>
      <c r="AB75">
        <v>19</v>
      </c>
      <c r="AC75">
        <v>0</v>
      </c>
      <c r="AD75">
        <v>29</v>
      </c>
      <c r="AE75">
        <v>39</v>
      </c>
      <c r="AF75">
        <v>49</v>
      </c>
      <c r="AG75">
        <v>44</v>
      </c>
      <c r="AH75">
        <v>0</v>
      </c>
      <c r="AI75">
        <v>69</v>
      </c>
      <c r="AJ75">
        <v>19</v>
      </c>
      <c r="AK75">
        <v>16</v>
      </c>
      <c r="AL75">
        <v>0</v>
      </c>
      <c r="AM75">
        <v>-1</v>
      </c>
      <c r="AN75">
        <v>9</v>
      </c>
      <c r="AO75">
        <v>24</v>
      </c>
      <c r="AP75">
        <v>5</v>
      </c>
      <c r="AQ75">
        <v>0</v>
      </c>
      <c r="AR75">
        <f t="shared" si="158"/>
        <v>38</v>
      </c>
      <c r="AS75">
        <f>IF(AND(IFERROR(VLOOKUP(AJ75,Equip!$A:$N,13,FALSE),0)&gt;=5,IFERROR(VLOOKUP(AJ75,Equip!$A:$N,13,FALSE),0)&lt;=9),INT(VLOOKUP(AJ75,Equip!$A:$N,6,FALSE)*SQRT(AN75)),0)</f>
        <v>0</v>
      </c>
      <c r="AT75">
        <f>IF(AND(IFERROR(VLOOKUP(AK75,Equip!$A:$N,13,FALSE),0)&gt;=5,IFERROR(VLOOKUP(AK75,Equip!$A:$N,13,FALSE),0)&lt;=9),INT(VLOOKUP(AK75,Equip!$A:$N,6,FALSE)*SQRT(AO75)),0)</f>
        <v>0</v>
      </c>
      <c r="AU75">
        <f>IF(AND(IFERROR(VLOOKUP(AL75,Equip!$A:$N,13,FALSE),0)&gt;=5,IFERROR(VLOOKUP(AL75,Equip!$A:$N,13,FALSE),0)&lt;=9),INT(VLOOKUP(AL75,Equip!$A:$N,6,FALSE)*SQRT(AP75)),0)</f>
        <v>0</v>
      </c>
      <c r="AV75">
        <f>IF(AND(IFERROR(VLOOKUP(AM75,Equip!$A:$N,13,FALSE),0)&gt;=5,IFERROR(VLOOKUP(AM75,Equip!$A:$N,13,FALSE),0)&lt;=9),INT(VLOOKUP(AM75,Equip!$A:$N,6,FALSE)*SQRT(AQ75)),0)</f>
        <v>0</v>
      </c>
      <c r="AW75">
        <f t="shared" si="147"/>
        <v>0</v>
      </c>
      <c r="AX75">
        <f t="shared" si="148"/>
        <v>231</v>
      </c>
    </row>
    <row r="76" spans="1:50">
      <c r="A76">
        <v>30</v>
      </c>
      <c r="B76" t="s">
        <v>764</v>
      </c>
      <c r="C76" t="s">
        <v>764</v>
      </c>
      <c r="D76">
        <v>1</v>
      </c>
      <c r="E76">
        <f t="shared" ref="E76:E77" si="175">E75</f>
        <v>1758</v>
      </c>
      <c r="F76">
        <f t="shared" ref="F76:F77" si="176">F75</f>
        <v>979</v>
      </c>
      <c r="G76">
        <f t="shared" ref="G76:G77" si="177">G75</f>
        <v>30</v>
      </c>
      <c r="H76">
        <f t="shared" ref="H76:H77" si="178">H75</f>
        <v>0</v>
      </c>
      <c r="I76">
        <f t="shared" ref="I76:I77" si="179">I75</f>
        <v>1</v>
      </c>
      <c r="J76">
        <f t="shared" ref="J76:J77" si="180">J75</f>
        <v>3</v>
      </c>
      <c r="K76">
        <v>9</v>
      </c>
      <c r="L76">
        <v>4</v>
      </c>
      <c r="M76">
        <v>45</v>
      </c>
      <c r="N76">
        <v>45</v>
      </c>
      <c r="O76">
        <v>6</v>
      </c>
      <c r="P76">
        <v>32</v>
      </c>
      <c r="Q76">
        <v>0</v>
      </c>
      <c r="R76">
        <v>35</v>
      </c>
      <c r="S76">
        <v>22</v>
      </c>
      <c r="T76">
        <v>0</v>
      </c>
      <c r="U76">
        <f t="shared" ref="U76:U77" si="181">U75</f>
        <v>10</v>
      </c>
      <c r="V76">
        <v>46</v>
      </c>
      <c r="W76">
        <f t="shared" ref="W76:W77" si="182">W75</f>
        <v>1</v>
      </c>
      <c r="X76">
        <v>12</v>
      </c>
      <c r="Y76">
        <f t="shared" ref="Y76:Y77" si="183">Y75</f>
        <v>0</v>
      </c>
      <c r="Z76">
        <v>40</v>
      </c>
      <c r="AA76">
        <v>40</v>
      </c>
      <c r="AB76">
        <v>29</v>
      </c>
      <c r="AC76">
        <v>0</v>
      </c>
      <c r="AD76">
        <v>39</v>
      </c>
      <c r="AE76">
        <v>59</v>
      </c>
      <c r="AF76">
        <v>59</v>
      </c>
      <c r="AG76">
        <v>59</v>
      </c>
      <c r="AH76">
        <v>0</v>
      </c>
      <c r="AI76">
        <v>79</v>
      </c>
      <c r="AJ76">
        <v>21</v>
      </c>
      <c r="AK76">
        <v>24</v>
      </c>
      <c r="AL76">
        <v>16</v>
      </c>
      <c r="AM76">
        <v>0</v>
      </c>
      <c r="AN76">
        <v>9</v>
      </c>
      <c r="AO76">
        <v>24</v>
      </c>
      <c r="AP76">
        <v>5</v>
      </c>
      <c r="AQ76">
        <v>5</v>
      </c>
      <c r="AR76">
        <f t="shared" si="158"/>
        <v>43</v>
      </c>
      <c r="AS76">
        <f>IF(AND(IFERROR(VLOOKUP(AJ76,Equip!$A:$N,13,FALSE),0)&gt;=5,IFERROR(VLOOKUP(AJ76,Equip!$A:$N,13,FALSE),0)&lt;=9),INT(VLOOKUP(AJ76,Equip!$A:$N,6,FALSE)*SQRT(AN76)),0)</f>
        <v>0</v>
      </c>
      <c r="AT76">
        <f>IF(AND(IFERROR(VLOOKUP(AK76,Equip!$A:$N,13,FALSE),0)&gt;=5,IFERROR(VLOOKUP(AK76,Equip!$A:$N,13,FALSE),0)&lt;=9),INT(VLOOKUP(AK76,Equip!$A:$N,6,FALSE)*SQRT(AO76)),0)</f>
        <v>0</v>
      </c>
      <c r="AU76">
        <f>IF(AND(IFERROR(VLOOKUP(AL76,Equip!$A:$N,13,FALSE),0)&gt;=5,IFERROR(VLOOKUP(AL76,Equip!$A:$N,13,FALSE),0)&lt;=9),INT(VLOOKUP(AL76,Equip!$A:$N,6,FALSE)*SQRT(AP76)),0)</f>
        <v>0</v>
      </c>
      <c r="AV76">
        <f>IF(AND(IFERROR(VLOOKUP(AM76,Equip!$A:$N,13,FALSE),0)&gt;=5,IFERROR(VLOOKUP(AM76,Equip!$A:$N,13,FALSE),0)&lt;=9),INT(VLOOKUP(AM76,Equip!$A:$N,6,FALSE)*SQRT(AQ76)),0)</f>
        <v>0</v>
      </c>
      <c r="AW76">
        <f t="shared" si="147"/>
        <v>0</v>
      </c>
      <c r="AX76">
        <f t="shared" si="148"/>
        <v>310</v>
      </c>
    </row>
    <row r="77" spans="1:50">
      <c r="A77">
        <v>30</v>
      </c>
      <c r="B77" t="s">
        <v>764</v>
      </c>
      <c r="C77" t="s">
        <v>764</v>
      </c>
      <c r="D77">
        <v>2</v>
      </c>
      <c r="E77">
        <f t="shared" si="175"/>
        <v>1758</v>
      </c>
      <c r="F77">
        <f t="shared" si="176"/>
        <v>979</v>
      </c>
      <c r="G77">
        <f t="shared" si="177"/>
        <v>30</v>
      </c>
      <c r="H77">
        <f t="shared" si="178"/>
        <v>0</v>
      </c>
      <c r="I77">
        <f t="shared" si="179"/>
        <v>1</v>
      </c>
      <c r="J77">
        <f t="shared" si="180"/>
        <v>3</v>
      </c>
      <c r="K77">
        <v>9</v>
      </c>
      <c r="L77">
        <v>4</v>
      </c>
      <c r="M77">
        <v>50</v>
      </c>
      <c r="N77">
        <v>50</v>
      </c>
      <c r="O77">
        <v>13</v>
      </c>
      <c r="P77">
        <v>49</v>
      </c>
      <c r="Q77">
        <v>0</v>
      </c>
      <c r="R77">
        <v>36</v>
      </c>
      <c r="S77">
        <v>24</v>
      </c>
      <c r="T77">
        <v>0</v>
      </c>
      <c r="U77">
        <f t="shared" si="181"/>
        <v>10</v>
      </c>
      <c r="V77">
        <v>75</v>
      </c>
      <c r="W77">
        <f t="shared" si="182"/>
        <v>1</v>
      </c>
      <c r="X77">
        <v>15</v>
      </c>
      <c r="Y77">
        <f t="shared" si="183"/>
        <v>0</v>
      </c>
      <c r="Z77">
        <v>40</v>
      </c>
      <c r="AA77">
        <v>45</v>
      </c>
      <c r="AB77">
        <v>40</v>
      </c>
      <c r="AC77">
        <v>0</v>
      </c>
      <c r="AD77">
        <v>48</v>
      </c>
      <c r="AE77">
        <v>62</v>
      </c>
      <c r="AF77">
        <v>59</v>
      </c>
      <c r="AG77">
        <v>69</v>
      </c>
      <c r="AH77">
        <v>0</v>
      </c>
      <c r="AI77">
        <v>79</v>
      </c>
      <c r="AJ77">
        <v>60</v>
      </c>
      <c r="AK77">
        <v>39</v>
      </c>
      <c r="AL77">
        <v>61</v>
      </c>
      <c r="AM77">
        <v>0</v>
      </c>
      <c r="AN77">
        <v>18</v>
      </c>
      <c r="AO77">
        <v>28</v>
      </c>
      <c r="AP77">
        <v>6</v>
      </c>
      <c r="AQ77">
        <v>3</v>
      </c>
      <c r="AR77">
        <f t="shared" si="158"/>
        <v>55</v>
      </c>
      <c r="AS77">
        <f>IF(AND(IFERROR(VLOOKUP(AJ77,Equip!$A:$N,13,FALSE),0)&gt;=5,IFERROR(VLOOKUP(AJ77,Equip!$A:$N,13,FALSE),0)&lt;=9),INT(VLOOKUP(AJ77,Equip!$A:$N,6,FALSE)*SQRT(AN77)),0)</f>
        <v>0</v>
      </c>
      <c r="AT77">
        <f>IF(AND(IFERROR(VLOOKUP(AK77,Equip!$A:$N,13,FALSE),0)&gt;=5,IFERROR(VLOOKUP(AK77,Equip!$A:$N,13,FALSE),0)&lt;=9),INT(VLOOKUP(AK77,Equip!$A:$N,6,FALSE)*SQRT(AO77)),0)</f>
        <v>0</v>
      </c>
      <c r="AU77">
        <f>IF(AND(IFERROR(VLOOKUP(AL77,Equip!$A:$N,13,FALSE),0)&gt;=5,IFERROR(VLOOKUP(AL77,Equip!$A:$N,13,FALSE),0)&lt;=9),INT(VLOOKUP(AL77,Equip!$A:$N,6,FALSE)*SQRT(AP77)),0)</f>
        <v>0</v>
      </c>
      <c r="AV77">
        <f>IF(AND(IFERROR(VLOOKUP(AM77,Equip!$A:$N,13,FALSE),0)&gt;=5,IFERROR(VLOOKUP(AM77,Equip!$A:$N,13,FALSE),0)&lt;=9),INT(VLOOKUP(AM77,Equip!$A:$N,6,FALSE)*SQRT(AQ77)),0)</f>
        <v>0</v>
      </c>
      <c r="AW77">
        <f t="shared" si="147"/>
        <v>0</v>
      </c>
      <c r="AX77">
        <f t="shared" si="148"/>
        <v>348</v>
      </c>
    </row>
    <row r="78" spans="1:50">
      <c r="A78">
        <v>31</v>
      </c>
      <c r="B78" t="s">
        <v>765</v>
      </c>
      <c r="C78" t="s">
        <v>765</v>
      </c>
      <c r="D78">
        <v>0</v>
      </c>
      <c r="E78">
        <v>1209</v>
      </c>
      <c r="F78">
        <v>704</v>
      </c>
      <c r="G78">
        <v>31</v>
      </c>
      <c r="H78">
        <v>1</v>
      </c>
      <c r="I78">
        <v>1</v>
      </c>
      <c r="J78">
        <v>0</v>
      </c>
      <c r="K78">
        <v>1</v>
      </c>
      <c r="L78">
        <v>1</v>
      </c>
      <c r="M78">
        <v>13</v>
      </c>
      <c r="N78">
        <v>13</v>
      </c>
      <c r="O78">
        <v>6</v>
      </c>
      <c r="P78">
        <v>5</v>
      </c>
      <c r="Q78">
        <v>18</v>
      </c>
      <c r="R78">
        <v>37</v>
      </c>
      <c r="S78">
        <v>7</v>
      </c>
      <c r="T78">
        <v>16</v>
      </c>
      <c r="U78">
        <v>10</v>
      </c>
      <c r="V78">
        <v>4</v>
      </c>
      <c r="W78">
        <v>1</v>
      </c>
      <c r="X78">
        <v>12</v>
      </c>
      <c r="Y78">
        <v>0</v>
      </c>
      <c r="Z78">
        <v>15</v>
      </c>
      <c r="AA78">
        <v>15</v>
      </c>
      <c r="AB78">
        <v>29</v>
      </c>
      <c r="AC78">
        <v>59</v>
      </c>
      <c r="AD78">
        <v>29</v>
      </c>
      <c r="AE78">
        <v>18</v>
      </c>
      <c r="AF78">
        <v>49</v>
      </c>
      <c r="AG78">
        <v>79</v>
      </c>
      <c r="AH78">
        <v>39</v>
      </c>
      <c r="AI78">
        <v>17</v>
      </c>
      <c r="AJ78">
        <v>1</v>
      </c>
      <c r="AK78">
        <v>37</v>
      </c>
      <c r="AL78">
        <v>-1</v>
      </c>
      <c r="AM78">
        <v>-1</v>
      </c>
      <c r="AN78">
        <v>0</v>
      </c>
      <c r="AO78">
        <v>0</v>
      </c>
      <c r="AP78">
        <v>0</v>
      </c>
      <c r="AQ78">
        <v>0</v>
      </c>
      <c r="AR78">
        <f t="shared" si="158"/>
        <v>0</v>
      </c>
      <c r="AS78">
        <f>IF(AND(IFERROR(VLOOKUP(AJ78,Equip!$A:$N,13,FALSE),0)&gt;=5,IFERROR(VLOOKUP(AJ78,Equip!$A:$N,13,FALSE),0)&lt;=9),INT(VLOOKUP(AJ78,Equip!$A:$N,6,FALSE)*SQRT(AN78)),0)</f>
        <v>0</v>
      </c>
      <c r="AT78">
        <f>IF(AND(IFERROR(VLOOKUP(AK78,Equip!$A:$N,13,FALSE),0)&gt;=5,IFERROR(VLOOKUP(AK78,Equip!$A:$N,13,FALSE),0)&lt;=9),INT(VLOOKUP(AK78,Equip!$A:$N,6,FALSE)*SQRT(AO78)),0)</f>
        <v>0</v>
      </c>
      <c r="AU78">
        <f>IF(AND(IFERROR(VLOOKUP(AL78,Equip!$A:$N,13,FALSE),0)&gt;=5,IFERROR(VLOOKUP(AL78,Equip!$A:$N,13,FALSE),0)&lt;=9),INT(VLOOKUP(AL78,Equip!$A:$N,6,FALSE)*SQRT(AP78)),0)</f>
        <v>0</v>
      </c>
      <c r="AV78">
        <f>IF(AND(IFERROR(VLOOKUP(AM78,Equip!$A:$N,13,FALSE),0)&gt;=5,IFERROR(VLOOKUP(AM78,Equip!$A:$N,13,FALSE),0)&lt;=9),INT(VLOOKUP(AM78,Equip!$A:$N,6,FALSE)*SQRT(AQ78)),0)</f>
        <v>0</v>
      </c>
      <c r="AW78">
        <f t="shared" si="147"/>
        <v>0</v>
      </c>
      <c r="AX78">
        <f t="shared" si="148"/>
        <v>283</v>
      </c>
    </row>
    <row r="79" spans="1:50">
      <c r="A79">
        <v>31</v>
      </c>
      <c r="B79" t="s">
        <v>765</v>
      </c>
      <c r="C79" t="s">
        <v>765</v>
      </c>
      <c r="D79">
        <v>1</v>
      </c>
      <c r="E79">
        <f t="shared" ref="E79:E80" si="184">E78</f>
        <v>1209</v>
      </c>
      <c r="F79">
        <f t="shared" ref="F79:F80" si="185">F78</f>
        <v>704</v>
      </c>
      <c r="G79">
        <f t="shared" ref="G79:G80" si="186">G78</f>
        <v>31</v>
      </c>
      <c r="H79">
        <f t="shared" ref="H79:H80" si="187">H78</f>
        <v>1</v>
      </c>
      <c r="I79">
        <f t="shared" ref="I79:I80" si="188">I78</f>
        <v>1</v>
      </c>
      <c r="J79">
        <f t="shared" ref="J79:J80" si="189">J78</f>
        <v>0</v>
      </c>
      <c r="K79">
        <v>1</v>
      </c>
      <c r="L79">
        <v>1</v>
      </c>
      <c r="M79">
        <v>24</v>
      </c>
      <c r="N79">
        <v>24</v>
      </c>
      <c r="O79">
        <v>12</v>
      </c>
      <c r="P79">
        <v>14</v>
      </c>
      <c r="Q79">
        <v>23</v>
      </c>
      <c r="R79">
        <v>49</v>
      </c>
      <c r="S79">
        <v>15</v>
      </c>
      <c r="T79">
        <v>26</v>
      </c>
      <c r="U79">
        <f t="shared" ref="U79:U80" si="190">U78</f>
        <v>10</v>
      </c>
      <c r="V79">
        <v>12</v>
      </c>
      <c r="W79">
        <f t="shared" ref="W79:W80" si="191">W78</f>
        <v>1</v>
      </c>
      <c r="X79">
        <v>12</v>
      </c>
      <c r="Y79">
        <f t="shared" ref="Y79:Y80" si="192">Y78</f>
        <v>0</v>
      </c>
      <c r="Z79">
        <v>15</v>
      </c>
      <c r="AA79">
        <v>15</v>
      </c>
      <c r="AB79">
        <v>39</v>
      </c>
      <c r="AC79">
        <v>69</v>
      </c>
      <c r="AD79">
        <v>39</v>
      </c>
      <c r="AE79">
        <v>39</v>
      </c>
      <c r="AF79">
        <v>59</v>
      </c>
      <c r="AG79">
        <v>89</v>
      </c>
      <c r="AH79">
        <v>59</v>
      </c>
      <c r="AI79">
        <v>39</v>
      </c>
      <c r="AJ79">
        <v>2</v>
      </c>
      <c r="AK79">
        <v>13</v>
      </c>
      <c r="AL79">
        <v>0</v>
      </c>
      <c r="AM79">
        <v>-1</v>
      </c>
      <c r="AN79">
        <v>0</v>
      </c>
      <c r="AO79">
        <v>0</v>
      </c>
      <c r="AP79">
        <v>0</v>
      </c>
      <c r="AQ79">
        <v>0</v>
      </c>
      <c r="AR79">
        <f t="shared" si="158"/>
        <v>0</v>
      </c>
      <c r="AS79">
        <f>IF(AND(IFERROR(VLOOKUP(AJ79,Equip!$A:$N,13,FALSE),0)&gt;=5,IFERROR(VLOOKUP(AJ79,Equip!$A:$N,13,FALSE),0)&lt;=9),INT(VLOOKUP(AJ79,Equip!$A:$N,6,FALSE)*SQRT(AN79)),0)</f>
        <v>0</v>
      </c>
      <c r="AT79">
        <f>IF(AND(IFERROR(VLOOKUP(AK79,Equip!$A:$N,13,FALSE),0)&gt;=5,IFERROR(VLOOKUP(AK79,Equip!$A:$N,13,FALSE),0)&lt;=9),INT(VLOOKUP(AK79,Equip!$A:$N,6,FALSE)*SQRT(AO79)),0)</f>
        <v>0</v>
      </c>
      <c r="AU79">
        <f>IF(AND(IFERROR(VLOOKUP(AL79,Equip!$A:$N,13,FALSE),0)&gt;=5,IFERROR(VLOOKUP(AL79,Equip!$A:$N,13,FALSE),0)&lt;=9),INT(VLOOKUP(AL79,Equip!$A:$N,6,FALSE)*SQRT(AP79)),0)</f>
        <v>0</v>
      </c>
      <c r="AV79">
        <f>IF(AND(IFERROR(VLOOKUP(AM79,Equip!$A:$N,13,FALSE),0)&gt;=5,IFERROR(VLOOKUP(AM79,Equip!$A:$N,13,FALSE),0)&lt;=9),INT(VLOOKUP(AM79,Equip!$A:$N,6,FALSE)*SQRT(AQ79)),0)</f>
        <v>0</v>
      </c>
      <c r="AW79">
        <f t="shared" si="147"/>
        <v>0</v>
      </c>
      <c r="AX79">
        <f t="shared" si="148"/>
        <v>397</v>
      </c>
    </row>
    <row r="80" spans="1:50">
      <c r="A80">
        <v>31</v>
      </c>
      <c r="B80" t="s">
        <v>765</v>
      </c>
      <c r="C80" t="s">
        <v>765</v>
      </c>
      <c r="D80">
        <v>2</v>
      </c>
      <c r="E80">
        <f t="shared" si="184"/>
        <v>1209</v>
      </c>
      <c r="F80">
        <f t="shared" si="185"/>
        <v>704</v>
      </c>
      <c r="G80">
        <f t="shared" si="186"/>
        <v>31</v>
      </c>
      <c r="H80">
        <f t="shared" si="187"/>
        <v>1</v>
      </c>
      <c r="I80">
        <f t="shared" si="188"/>
        <v>1</v>
      </c>
      <c r="J80">
        <f t="shared" si="189"/>
        <v>0</v>
      </c>
      <c r="K80">
        <v>1</v>
      </c>
      <c r="L80">
        <v>1</v>
      </c>
      <c r="M80">
        <v>27</v>
      </c>
      <c r="N80">
        <v>27</v>
      </c>
      <c r="O80">
        <v>20</v>
      </c>
      <c r="P80">
        <v>29</v>
      </c>
      <c r="Q80">
        <v>43</v>
      </c>
      <c r="R80">
        <v>76</v>
      </c>
      <c r="S80">
        <v>27</v>
      </c>
      <c r="T80">
        <v>54</v>
      </c>
      <c r="U80">
        <f t="shared" si="190"/>
        <v>10</v>
      </c>
      <c r="V80">
        <v>30</v>
      </c>
      <c r="W80">
        <f t="shared" si="191"/>
        <v>1</v>
      </c>
      <c r="X80">
        <v>14</v>
      </c>
      <c r="Y80">
        <f t="shared" si="192"/>
        <v>0</v>
      </c>
      <c r="Z80">
        <v>15</v>
      </c>
      <c r="AA80">
        <v>15</v>
      </c>
      <c r="AB80">
        <v>45</v>
      </c>
      <c r="AC80">
        <v>79</v>
      </c>
      <c r="AD80">
        <v>56</v>
      </c>
      <c r="AE80">
        <v>43</v>
      </c>
      <c r="AF80">
        <v>64</v>
      </c>
      <c r="AG80">
        <v>90</v>
      </c>
      <c r="AH80">
        <v>69</v>
      </c>
      <c r="AI80">
        <v>43</v>
      </c>
      <c r="AJ80">
        <v>91</v>
      </c>
      <c r="AK80">
        <v>125</v>
      </c>
      <c r="AL80">
        <v>34</v>
      </c>
      <c r="AM80">
        <v>-1</v>
      </c>
      <c r="AN80">
        <v>0</v>
      </c>
      <c r="AO80">
        <v>0</v>
      </c>
      <c r="AP80">
        <v>0</v>
      </c>
      <c r="AQ80">
        <v>0</v>
      </c>
      <c r="AR80">
        <f t="shared" si="158"/>
        <v>0</v>
      </c>
      <c r="AS80">
        <f>IF(AND(IFERROR(VLOOKUP(AJ80,Equip!$A:$N,13,FALSE),0)&gt;=5,IFERROR(VLOOKUP(AJ80,Equip!$A:$N,13,FALSE),0)&lt;=9),INT(VLOOKUP(AJ80,Equip!$A:$N,6,FALSE)*SQRT(AN80)),0)</f>
        <v>0</v>
      </c>
      <c r="AT80">
        <f>IF(AND(IFERROR(VLOOKUP(AK80,Equip!$A:$N,13,FALSE),0)&gt;=5,IFERROR(VLOOKUP(AK80,Equip!$A:$N,13,FALSE),0)&lt;=9),INT(VLOOKUP(AK80,Equip!$A:$N,6,FALSE)*SQRT(AO80)),0)</f>
        <v>0</v>
      </c>
      <c r="AU80">
        <f>IF(AND(IFERROR(VLOOKUP(AL80,Equip!$A:$N,13,FALSE),0)&gt;=5,IFERROR(VLOOKUP(AL80,Equip!$A:$N,13,FALSE),0)&lt;=9),INT(VLOOKUP(AL80,Equip!$A:$N,6,FALSE)*SQRT(AP80)),0)</f>
        <v>0</v>
      </c>
      <c r="AV80">
        <f>IF(AND(IFERROR(VLOOKUP(AM80,Equip!$A:$N,13,FALSE),0)&gt;=5,IFERROR(VLOOKUP(AM80,Equip!$A:$N,13,FALSE),0)&lt;=9),INT(VLOOKUP(AM80,Equip!$A:$N,6,FALSE)*SQRT(AQ80)),0)</f>
        <v>0</v>
      </c>
      <c r="AW80">
        <f t="shared" si="147"/>
        <v>0</v>
      </c>
      <c r="AX80">
        <f t="shared" si="148"/>
        <v>452</v>
      </c>
    </row>
    <row r="81" spans="1:50">
      <c r="A81">
        <v>32</v>
      </c>
      <c r="B81" t="s">
        <v>766</v>
      </c>
      <c r="C81" t="s">
        <v>766</v>
      </c>
      <c r="D81">
        <v>0</v>
      </c>
      <c r="E81">
        <v>1209</v>
      </c>
      <c r="F81">
        <v>704</v>
      </c>
      <c r="G81">
        <v>32</v>
      </c>
      <c r="H81">
        <v>1</v>
      </c>
      <c r="I81">
        <v>1</v>
      </c>
      <c r="J81">
        <v>11</v>
      </c>
      <c r="K81">
        <v>1</v>
      </c>
      <c r="L81">
        <v>1</v>
      </c>
      <c r="M81">
        <v>13</v>
      </c>
      <c r="N81">
        <v>13</v>
      </c>
      <c r="O81">
        <v>6</v>
      </c>
      <c r="P81">
        <v>5</v>
      </c>
      <c r="Q81">
        <v>27</v>
      </c>
      <c r="R81">
        <v>37</v>
      </c>
      <c r="S81">
        <v>7</v>
      </c>
      <c r="T81">
        <v>16</v>
      </c>
      <c r="U81">
        <v>10</v>
      </c>
      <c r="V81">
        <v>4</v>
      </c>
      <c r="W81">
        <v>1</v>
      </c>
      <c r="X81">
        <v>10</v>
      </c>
      <c r="Y81">
        <v>0</v>
      </c>
      <c r="Z81">
        <v>15</v>
      </c>
      <c r="AA81">
        <v>15</v>
      </c>
      <c r="AB81">
        <v>29</v>
      </c>
      <c r="AC81">
        <v>49</v>
      </c>
      <c r="AD81">
        <v>29</v>
      </c>
      <c r="AE81">
        <v>18</v>
      </c>
      <c r="AF81">
        <v>49</v>
      </c>
      <c r="AG81">
        <v>69</v>
      </c>
      <c r="AH81">
        <v>39</v>
      </c>
      <c r="AI81">
        <v>17</v>
      </c>
      <c r="AJ81">
        <v>1</v>
      </c>
      <c r="AK81">
        <v>0</v>
      </c>
      <c r="AL81">
        <v>-1</v>
      </c>
      <c r="AM81">
        <v>-1</v>
      </c>
      <c r="AN81">
        <v>0</v>
      </c>
      <c r="AO81">
        <v>0</v>
      </c>
      <c r="AP81">
        <v>0</v>
      </c>
      <c r="AQ81">
        <v>0</v>
      </c>
      <c r="AR81">
        <f t="shared" si="158"/>
        <v>0</v>
      </c>
      <c r="AS81">
        <f>IF(AND(IFERROR(VLOOKUP(AJ81,Equip!$A:$N,13,FALSE),0)&gt;=5,IFERROR(VLOOKUP(AJ81,Equip!$A:$N,13,FALSE),0)&lt;=9),INT(VLOOKUP(AJ81,Equip!$A:$N,6,FALSE)*SQRT(AN81)),0)</f>
        <v>0</v>
      </c>
      <c r="AT81">
        <f>IF(AND(IFERROR(VLOOKUP(AK81,Equip!$A:$N,13,FALSE),0)&gt;=5,IFERROR(VLOOKUP(AK81,Equip!$A:$N,13,FALSE),0)&lt;=9),INT(VLOOKUP(AK81,Equip!$A:$N,6,FALSE)*SQRT(AO81)),0)</f>
        <v>0</v>
      </c>
      <c r="AU81">
        <f>IF(AND(IFERROR(VLOOKUP(AL81,Equip!$A:$N,13,FALSE),0)&gt;=5,IFERROR(VLOOKUP(AL81,Equip!$A:$N,13,FALSE),0)&lt;=9),INT(VLOOKUP(AL81,Equip!$A:$N,6,FALSE)*SQRT(AP81)),0)</f>
        <v>0</v>
      </c>
      <c r="AV81">
        <f>IF(AND(IFERROR(VLOOKUP(AM81,Equip!$A:$N,13,FALSE),0)&gt;=5,IFERROR(VLOOKUP(AM81,Equip!$A:$N,13,FALSE),0)&lt;=9),INT(VLOOKUP(AM81,Equip!$A:$N,6,FALSE)*SQRT(AQ81)),0)</f>
        <v>0</v>
      </c>
      <c r="AW81">
        <f t="shared" si="147"/>
        <v>0</v>
      </c>
      <c r="AX81">
        <f t="shared" si="148"/>
        <v>263</v>
      </c>
    </row>
    <row r="82" spans="1:50">
      <c r="A82">
        <v>32</v>
      </c>
      <c r="B82" t="s">
        <v>766</v>
      </c>
      <c r="C82" t="s">
        <v>766</v>
      </c>
      <c r="D82">
        <v>1</v>
      </c>
      <c r="E82">
        <f t="shared" ref="E82:E83" si="193">E81</f>
        <v>1209</v>
      </c>
      <c r="F82">
        <f t="shared" ref="F82:F83" si="194">F81</f>
        <v>704</v>
      </c>
      <c r="G82">
        <f t="shared" ref="G82:G83" si="195">G81</f>
        <v>32</v>
      </c>
      <c r="H82">
        <f t="shared" ref="H82:H83" si="196">H81</f>
        <v>1</v>
      </c>
      <c r="I82">
        <f t="shared" ref="I82:I83" si="197">I81</f>
        <v>1</v>
      </c>
      <c r="J82">
        <f t="shared" ref="J82:J83" si="198">J81</f>
        <v>11</v>
      </c>
      <c r="K82">
        <v>1</v>
      </c>
      <c r="L82">
        <v>1</v>
      </c>
      <c r="M82">
        <v>24</v>
      </c>
      <c r="N82">
        <v>24</v>
      </c>
      <c r="O82">
        <v>12</v>
      </c>
      <c r="P82">
        <v>16</v>
      </c>
      <c r="Q82">
        <v>27</v>
      </c>
      <c r="R82">
        <v>49</v>
      </c>
      <c r="S82">
        <v>15</v>
      </c>
      <c r="T82">
        <v>26</v>
      </c>
      <c r="U82">
        <f t="shared" ref="U82:U83" si="199">U81</f>
        <v>10</v>
      </c>
      <c r="V82">
        <v>12</v>
      </c>
      <c r="W82">
        <f t="shared" ref="W82:W83" si="200">W81</f>
        <v>1</v>
      </c>
      <c r="X82">
        <v>12</v>
      </c>
      <c r="Y82">
        <f t="shared" ref="Y82:Y83" si="201">Y81</f>
        <v>0</v>
      </c>
      <c r="Z82">
        <v>15</v>
      </c>
      <c r="AA82">
        <v>15</v>
      </c>
      <c r="AB82">
        <v>39</v>
      </c>
      <c r="AC82">
        <v>69</v>
      </c>
      <c r="AD82">
        <v>39</v>
      </c>
      <c r="AE82">
        <v>39</v>
      </c>
      <c r="AF82">
        <v>59</v>
      </c>
      <c r="AG82">
        <v>89</v>
      </c>
      <c r="AH82">
        <v>59</v>
      </c>
      <c r="AI82">
        <v>39</v>
      </c>
      <c r="AJ82">
        <v>2</v>
      </c>
      <c r="AK82">
        <v>13</v>
      </c>
      <c r="AL82">
        <v>0</v>
      </c>
      <c r="AM82">
        <v>-1</v>
      </c>
      <c r="AN82">
        <v>0</v>
      </c>
      <c r="AO82">
        <v>0</v>
      </c>
      <c r="AP82">
        <v>0</v>
      </c>
      <c r="AQ82">
        <v>0</v>
      </c>
      <c r="AR82">
        <f t="shared" si="158"/>
        <v>0</v>
      </c>
      <c r="AS82">
        <f>IF(AND(IFERROR(VLOOKUP(AJ82,Equip!$A:$N,13,FALSE),0)&gt;=5,IFERROR(VLOOKUP(AJ82,Equip!$A:$N,13,FALSE),0)&lt;=9),INT(VLOOKUP(AJ82,Equip!$A:$N,6,FALSE)*SQRT(AN82)),0)</f>
        <v>0</v>
      </c>
      <c r="AT82">
        <f>IF(AND(IFERROR(VLOOKUP(AK82,Equip!$A:$N,13,FALSE),0)&gt;=5,IFERROR(VLOOKUP(AK82,Equip!$A:$N,13,FALSE),0)&lt;=9),INT(VLOOKUP(AK82,Equip!$A:$N,6,FALSE)*SQRT(AO82)),0)</f>
        <v>0</v>
      </c>
      <c r="AU82">
        <f>IF(AND(IFERROR(VLOOKUP(AL82,Equip!$A:$N,13,FALSE),0)&gt;=5,IFERROR(VLOOKUP(AL82,Equip!$A:$N,13,FALSE),0)&lt;=9),INT(VLOOKUP(AL82,Equip!$A:$N,6,FALSE)*SQRT(AP82)),0)</f>
        <v>0</v>
      </c>
      <c r="AV82">
        <f>IF(AND(IFERROR(VLOOKUP(AM82,Equip!$A:$N,13,FALSE),0)&gt;=5,IFERROR(VLOOKUP(AM82,Equip!$A:$N,13,FALSE),0)&lt;=9),INT(VLOOKUP(AM82,Equip!$A:$N,6,FALSE)*SQRT(AQ82)),0)</f>
        <v>0</v>
      </c>
      <c r="AW82">
        <f t="shared" si="147"/>
        <v>0</v>
      </c>
      <c r="AX82">
        <f t="shared" si="148"/>
        <v>397</v>
      </c>
    </row>
    <row r="83" spans="1:50">
      <c r="A83">
        <v>32</v>
      </c>
      <c r="B83" t="s">
        <v>766</v>
      </c>
      <c r="C83" t="s">
        <v>766</v>
      </c>
      <c r="D83">
        <v>2</v>
      </c>
      <c r="E83">
        <f t="shared" si="193"/>
        <v>1209</v>
      </c>
      <c r="F83">
        <f t="shared" si="194"/>
        <v>704</v>
      </c>
      <c r="G83">
        <f t="shared" si="195"/>
        <v>32</v>
      </c>
      <c r="H83">
        <f t="shared" si="196"/>
        <v>1</v>
      </c>
      <c r="I83">
        <f t="shared" si="197"/>
        <v>1</v>
      </c>
      <c r="J83">
        <f t="shared" si="198"/>
        <v>11</v>
      </c>
      <c r="K83">
        <v>1</v>
      </c>
      <c r="L83">
        <v>1</v>
      </c>
      <c r="M83">
        <v>27</v>
      </c>
      <c r="N83">
        <v>27</v>
      </c>
      <c r="O83">
        <v>29</v>
      </c>
      <c r="P83">
        <v>29</v>
      </c>
      <c r="Q83">
        <v>42</v>
      </c>
      <c r="R83">
        <v>76</v>
      </c>
      <c r="S83">
        <v>29</v>
      </c>
      <c r="T83">
        <v>54</v>
      </c>
      <c r="U83">
        <f t="shared" si="199"/>
        <v>10</v>
      </c>
      <c r="V83">
        <v>31</v>
      </c>
      <c r="W83">
        <f t="shared" si="200"/>
        <v>1</v>
      </c>
      <c r="X83">
        <v>13</v>
      </c>
      <c r="Y83">
        <f t="shared" si="201"/>
        <v>0</v>
      </c>
      <c r="Z83">
        <v>15</v>
      </c>
      <c r="AA83">
        <v>15</v>
      </c>
      <c r="AB83">
        <v>46</v>
      </c>
      <c r="AC83">
        <v>80</v>
      </c>
      <c r="AD83">
        <v>57</v>
      </c>
      <c r="AE83">
        <v>43</v>
      </c>
      <c r="AF83">
        <v>60</v>
      </c>
      <c r="AG83">
        <v>91</v>
      </c>
      <c r="AH83">
        <v>69</v>
      </c>
      <c r="AI83">
        <v>44</v>
      </c>
      <c r="AJ83">
        <v>91</v>
      </c>
      <c r="AK83">
        <v>125</v>
      </c>
      <c r="AL83">
        <v>34</v>
      </c>
      <c r="AM83">
        <v>-1</v>
      </c>
      <c r="AN83">
        <v>0</v>
      </c>
      <c r="AO83">
        <v>0</v>
      </c>
      <c r="AP83">
        <v>0</v>
      </c>
      <c r="AQ83">
        <v>0</v>
      </c>
      <c r="AR83">
        <f t="shared" si="158"/>
        <v>0</v>
      </c>
      <c r="AS83">
        <f>IF(AND(IFERROR(VLOOKUP(AJ83,Equip!$A:$N,13,FALSE),0)&gt;=5,IFERROR(VLOOKUP(AJ83,Equip!$A:$N,13,FALSE),0)&lt;=9),INT(VLOOKUP(AJ83,Equip!$A:$N,6,FALSE)*SQRT(AN83)),0)</f>
        <v>0</v>
      </c>
      <c r="AT83">
        <f>IF(AND(IFERROR(VLOOKUP(AK83,Equip!$A:$N,13,FALSE),0)&gt;=5,IFERROR(VLOOKUP(AK83,Equip!$A:$N,13,FALSE),0)&lt;=9),INT(VLOOKUP(AK83,Equip!$A:$N,6,FALSE)*SQRT(AO83)),0)</f>
        <v>0</v>
      </c>
      <c r="AU83">
        <f>IF(AND(IFERROR(VLOOKUP(AL83,Equip!$A:$N,13,FALSE),0)&gt;=5,IFERROR(VLOOKUP(AL83,Equip!$A:$N,13,FALSE),0)&lt;=9),INT(VLOOKUP(AL83,Equip!$A:$N,6,FALSE)*SQRT(AP83)),0)</f>
        <v>0</v>
      </c>
      <c r="AV83">
        <f>IF(AND(IFERROR(VLOOKUP(AM83,Equip!$A:$N,13,FALSE),0)&gt;=5,IFERROR(VLOOKUP(AM83,Equip!$A:$N,13,FALSE),0)&lt;=9),INT(VLOOKUP(AM83,Equip!$A:$N,6,FALSE)*SQRT(AQ83)),0)</f>
        <v>0</v>
      </c>
      <c r="AW83">
        <f t="shared" si="147"/>
        <v>0</v>
      </c>
      <c r="AX83">
        <f t="shared" si="148"/>
        <v>457</v>
      </c>
    </row>
    <row r="84" spans="1:50">
      <c r="A84">
        <v>33</v>
      </c>
      <c r="B84" t="s">
        <v>767</v>
      </c>
      <c r="C84" t="s">
        <v>767</v>
      </c>
      <c r="D84">
        <v>0</v>
      </c>
      <c r="E84">
        <v>1209</v>
      </c>
      <c r="F84">
        <v>704</v>
      </c>
      <c r="G84">
        <v>33</v>
      </c>
      <c r="H84">
        <v>0</v>
      </c>
      <c r="I84">
        <v>1</v>
      </c>
      <c r="J84">
        <v>4</v>
      </c>
      <c r="K84">
        <v>1</v>
      </c>
      <c r="L84">
        <v>1</v>
      </c>
      <c r="M84">
        <v>13</v>
      </c>
      <c r="N84">
        <v>13</v>
      </c>
      <c r="O84">
        <v>6</v>
      </c>
      <c r="P84">
        <v>5</v>
      </c>
      <c r="Q84">
        <v>18</v>
      </c>
      <c r="R84">
        <v>37</v>
      </c>
      <c r="S84">
        <v>7</v>
      </c>
      <c r="T84">
        <v>16</v>
      </c>
      <c r="U84">
        <v>10</v>
      </c>
      <c r="V84">
        <v>4</v>
      </c>
      <c r="W84">
        <v>1</v>
      </c>
      <c r="X84">
        <v>10</v>
      </c>
      <c r="Y84">
        <v>0</v>
      </c>
      <c r="Z84">
        <v>15</v>
      </c>
      <c r="AA84">
        <v>15</v>
      </c>
      <c r="AB84">
        <v>29</v>
      </c>
      <c r="AC84">
        <v>49</v>
      </c>
      <c r="AD84">
        <v>29</v>
      </c>
      <c r="AE84">
        <v>18</v>
      </c>
      <c r="AF84">
        <v>49</v>
      </c>
      <c r="AG84">
        <v>69</v>
      </c>
      <c r="AH84">
        <v>39</v>
      </c>
      <c r="AI84">
        <v>17</v>
      </c>
      <c r="AJ84">
        <v>1</v>
      </c>
      <c r="AK84">
        <v>0</v>
      </c>
      <c r="AL84">
        <v>-1</v>
      </c>
      <c r="AM84">
        <v>-1</v>
      </c>
      <c r="AN84">
        <v>0</v>
      </c>
      <c r="AO84">
        <v>0</v>
      </c>
      <c r="AP84">
        <v>0</v>
      </c>
      <c r="AQ84">
        <v>0</v>
      </c>
      <c r="AR84">
        <f t="shared" si="158"/>
        <v>0</v>
      </c>
      <c r="AS84">
        <f>IF(AND(IFERROR(VLOOKUP(AJ84,Equip!$A:$N,13,FALSE),0)&gt;=5,IFERROR(VLOOKUP(AJ84,Equip!$A:$N,13,FALSE),0)&lt;=9),INT(VLOOKUP(AJ84,Equip!$A:$N,6,FALSE)*SQRT(AN84)),0)</f>
        <v>0</v>
      </c>
      <c r="AT84">
        <f>IF(AND(IFERROR(VLOOKUP(AK84,Equip!$A:$N,13,FALSE),0)&gt;=5,IFERROR(VLOOKUP(AK84,Equip!$A:$N,13,FALSE),0)&lt;=9),INT(VLOOKUP(AK84,Equip!$A:$N,6,FALSE)*SQRT(AO84)),0)</f>
        <v>0</v>
      </c>
      <c r="AU84">
        <f>IF(AND(IFERROR(VLOOKUP(AL84,Equip!$A:$N,13,FALSE),0)&gt;=5,IFERROR(VLOOKUP(AL84,Equip!$A:$N,13,FALSE),0)&lt;=9),INT(VLOOKUP(AL84,Equip!$A:$N,6,FALSE)*SQRT(AP84)),0)</f>
        <v>0</v>
      </c>
      <c r="AV84">
        <f>IF(AND(IFERROR(VLOOKUP(AM84,Equip!$A:$N,13,FALSE),0)&gt;=5,IFERROR(VLOOKUP(AM84,Equip!$A:$N,13,FALSE),0)&lt;=9),INT(VLOOKUP(AM84,Equip!$A:$N,6,FALSE)*SQRT(AQ84)),0)</f>
        <v>0</v>
      </c>
      <c r="AW84">
        <f t="shared" si="147"/>
        <v>0</v>
      </c>
      <c r="AX84">
        <f t="shared" si="148"/>
        <v>263</v>
      </c>
    </row>
    <row r="85" spans="1:50">
      <c r="A85">
        <v>33</v>
      </c>
      <c r="B85" t="s">
        <v>767</v>
      </c>
      <c r="C85" t="s">
        <v>767</v>
      </c>
      <c r="D85">
        <v>1</v>
      </c>
      <c r="E85">
        <f t="shared" ref="E85:E86" si="202">E84</f>
        <v>1209</v>
      </c>
      <c r="F85">
        <f t="shared" ref="F85:F86" si="203">F84</f>
        <v>704</v>
      </c>
      <c r="G85">
        <f t="shared" ref="G85:G86" si="204">G84</f>
        <v>33</v>
      </c>
      <c r="H85">
        <f t="shared" ref="H85:H86" si="205">H84</f>
        <v>0</v>
      </c>
      <c r="I85">
        <f t="shared" ref="I85:I86" si="206">I84</f>
        <v>1</v>
      </c>
      <c r="J85">
        <f t="shared" ref="J85:J86" si="207">J84</f>
        <v>4</v>
      </c>
      <c r="K85">
        <v>1</v>
      </c>
      <c r="L85">
        <v>1</v>
      </c>
      <c r="M85">
        <v>24</v>
      </c>
      <c r="N85">
        <v>24</v>
      </c>
      <c r="O85">
        <v>12</v>
      </c>
      <c r="P85">
        <v>14</v>
      </c>
      <c r="Q85">
        <v>23</v>
      </c>
      <c r="R85">
        <v>49</v>
      </c>
      <c r="S85">
        <v>15</v>
      </c>
      <c r="T85">
        <v>26</v>
      </c>
      <c r="U85">
        <f t="shared" ref="U85:U86" si="208">U84</f>
        <v>10</v>
      </c>
      <c r="V85">
        <v>12</v>
      </c>
      <c r="W85">
        <f t="shared" ref="W85:W86" si="209">W84</f>
        <v>1</v>
      </c>
      <c r="X85">
        <v>12</v>
      </c>
      <c r="Y85">
        <f t="shared" ref="Y85:Y86" si="210">Y84</f>
        <v>0</v>
      </c>
      <c r="Z85">
        <v>15</v>
      </c>
      <c r="AA85">
        <v>15</v>
      </c>
      <c r="AB85">
        <v>39</v>
      </c>
      <c r="AC85">
        <v>69</v>
      </c>
      <c r="AD85">
        <v>39</v>
      </c>
      <c r="AE85">
        <v>39</v>
      </c>
      <c r="AF85">
        <v>59</v>
      </c>
      <c r="AG85">
        <v>89</v>
      </c>
      <c r="AH85">
        <v>59</v>
      </c>
      <c r="AI85">
        <v>39</v>
      </c>
      <c r="AJ85">
        <v>2</v>
      </c>
      <c r="AK85">
        <v>13</v>
      </c>
      <c r="AL85">
        <v>0</v>
      </c>
      <c r="AM85">
        <v>-1</v>
      </c>
      <c r="AN85">
        <v>0</v>
      </c>
      <c r="AO85">
        <v>0</v>
      </c>
      <c r="AP85">
        <v>0</v>
      </c>
      <c r="AQ85">
        <v>0</v>
      </c>
      <c r="AR85">
        <f t="shared" si="158"/>
        <v>0</v>
      </c>
      <c r="AS85">
        <f>IF(AND(IFERROR(VLOOKUP(AJ85,Equip!$A:$N,13,FALSE),0)&gt;=5,IFERROR(VLOOKUP(AJ85,Equip!$A:$N,13,FALSE),0)&lt;=9),INT(VLOOKUP(AJ85,Equip!$A:$N,6,FALSE)*SQRT(AN85)),0)</f>
        <v>0</v>
      </c>
      <c r="AT85">
        <f>IF(AND(IFERROR(VLOOKUP(AK85,Equip!$A:$N,13,FALSE),0)&gt;=5,IFERROR(VLOOKUP(AK85,Equip!$A:$N,13,FALSE),0)&lt;=9),INT(VLOOKUP(AK85,Equip!$A:$N,6,FALSE)*SQRT(AO85)),0)</f>
        <v>0</v>
      </c>
      <c r="AU85">
        <f>IF(AND(IFERROR(VLOOKUP(AL85,Equip!$A:$N,13,FALSE),0)&gt;=5,IFERROR(VLOOKUP(AL85,Equip!$A:$N,13,FALSE),0)&lt;=9),INT(VLOOKUP(AL85,Equip!$A:$N,6,FALSE)*SQRT(AP85)),0)</f>
        <v>0</v>
      </c>
      <c r="AV85">
        <f>IF(AND(IFERROR(VLOOKUP(AM85,Equip!$A:$N,13,FALSE),0)&gt;=5,IFERROR(VLOOKUP(AM85,Equip!$A:$N,13,FALSE),0)&lt;=9),INT(VLOOKUP(AM85,Equip!$A:$N,6,FALSE)*SQRT(AQ85)),0)</f>
        <v>0</v>
      </c>
      <c r="AW85">
        <f t="shared" si="147"/>
        <v>0</v>
      </c>
      <c r="AX85">
        <f t="shared" si="148"/>
        <v>397</v>
      </c>
    </row>
    <row r="86" spans="1:50">
      <c r="A86">
        <v>33</v>
      </c>
      <c r="B86" t="s">
        <v>767</v>
      </c>
      <c r="C86" t="s">
        <v>767</v>
      </c>
      <c r="D86">
        <v>2</v>
      </c>
      <c r="E86">
        <f t="shared" si="202"/>
        <v>1209</v>
      </c>
      <c r="F86">
        <f t="shared" si="203"/>
        <v>704</v>
      </c>
      <c r="G86">
        <f t="shared" si="204"/>
        <v>33</v>
      </c>
      <c r="H86">
        <f t="shared" si="205"/>
        <v>0</v>
      </c>
      <c r="I86">
        <f t="shared" si="206"/>
        <v>1</v>
      </c>
      <c r="J86">
        <f t="shared" si="207"/>
        <v>4</v>
      </c>
      <c r="K86">
        <v>1</v>
      </c>
      <c r="L86">
        <v>1</v>
      </c>
      <c r="M86">
        <v>28</v>
      </c>
      <c r="N86">
        <v>28</v>
      </c>
      <c r="O86">
        <v>25</v>
      </c>
      <c r="P86">
        <v>14</v>
      </c>
      <c r="Q86">
        <v>51</v>
      </c>
      <c r="R86">
        <v>22</v>
      </c>
      <c r="S86">
        <v>43</v>
      </c>
      <c r="T86">
        <v>32</v>
      </c>
      <c r="U86">
        <f t="shared" si="208"/>
        <v>10</v>
      </c>
      <c r="V86">
        <v>12</v>
      </c>
      <c r="W86">
        <f t="shared" si="209"/>
        <v>1</v>
      </c>
      <c r="X86">
        <v>20</v>
      </c>
      <c r="Y86">
        <f t="shared" si="210"/>
        <v>0</v>
      </c>
      <c r="Z86">
        <v>15</v>
      </c>
      <c r="AA86">
        <v>15</v>
      </c>
      <c r="AB86">
        <v>42</v>
      </c>
      <c r="AC86">
        <v>78</v>
      </c>
      <c r="AD86">
        <v>82</v>
      </c>
      <c r="AE86">
        <v>45</v>
      </c>
      <c r="AF86">
        <v>79</v>
      </c>
      <c r="AG86">
        <v>96</v>
      </c>
      <c r="AH86">
        <v>81</v>
      </c>
      <c r="AI86">
        <v>45</v>
      </c>
      <c r="AJ86">
        <v>131</v>
      </c>
      <c r="AK86">
        <v>125</v>
      </c>
      <c r="AL86">
        <v>106</v>
      </c>
      <c r="AM86">
        <v>-1</v>
      </c>
      <c r="AN86">
        <v>0</v>
      </c>
      <c r="AO86">
        <v>0</v>
      </c>
      <c r="AP86">
        <v>0</v>
      </c>
      <c r="AQ86">
        <v>0</v>
      </c>
      <c r="AR86">
        <f t="shared" si="158"/>
        <v>0</v>
      </c>
      <c r="AS86">
        <f>IF(AND(IFERROR(VLOOKUP(AJ86,Equip!$A:$N,13,FALSE),0)&gt;=5,IFERROR(VLOOKUP(AJ86,Equip!$A:$N,13,FALSE),0)&lt;=9),INT(VLOOKUP(AJ86,Equip!$A:$N,6,FALSE)*SQRT(AN86)),0)</f>
        <v>0</v>
      </c>
      <c r="AT86">
        <f>IF(AND(IFERROR(VLOOKUP(AK86,Equip!$A:$N,13,FALSE),0)&gt;=5,IFERROR(VLOOKUP(AK86,Equip!$A:$N,13,FALSE),0)&lt;=9),INT(VLOOKUP(AK86,Equip!$A:$N,6,FALSE)*SQRT(AO86)),0)</f>
        <v>0</v>
      </c>
      <c r="AU86">
        <f>IF(AND(IFERROR(VLOOKUP(AL86,Equip!$A:$N,13,FALSE),0)&gt;=5,IFERROR(VLOOKUP(AL86,Equip!$A:$N,13,FALSE),0)&lt;=9),INT(VLOOKUP(AL86,Equip!$A:$N,6,FALSE)*SQRT(AP86)),0)</f>
        <v>0</v>
      </c>
      <c r="AV86">
        <f>IF(AND(IFERROR(VLOOKUP(AM86,Equip!$A:$N,13,FALSE),0)&gt;=5,IFERROR(VLOOKUP(AM86,Equip!$A:$N,13,FALSE),0)&lt;=9),INT(VLOOKUP(AM86,Equip!$A:$N,6,FALSE)*SQRT(AQ86)),0)</f>
        <v>0</v>
      </c>
      <c r="AW86">
        <f t="shared" si="147"/>
        <v>0</v>
      </c>
      <c r="AX86">
        <f t="shared" si="148"/>
        <v>497</v>
      </c>
    </row>
    <row r="87" spans="1:50">
      <c r="A87">
        <v>34</v>
      </c>
      <c r="B87" t="s">
        <v>768</v>
      </c>
      <c r="C87" t="s">
        <v>768</v>
      </c>
      <c r="D87">
        <v>0</v>
      </c>
      <c r="E87">
        <v>1209</v>
      </c>
      <c r="F87">
        <v>704</v>
      </c>
      <c r="G87">
        <v>34</v>
      </c>
      <c r="H87">
        <v>0</v>
      </c>
      <c r="I87">
        <v>1</v>
      </c>
      <c r="J87">
        <v>6</v>
      </c>
      <c r="K87">
        <v>1</v>
      </c>
      <c r="L87">
        <v>1</v>
      </c>
      <c r="M87">
        <v>13</v>
      </c>
      <c r="N87">
        <v>13</v>
      </c>
      <c r="O87">
        <v>6</v>
      </c>
      <c r="P87">
        <v>5</v>
      </c>
      <c r="Q87">
        <v>18</v>
      </c>
      <c r="R87">
        <v>37</v>
      </c>
      <c r="S87">
        <v>7</v>
      </c>
      <c r="T87">
        <v>16</v>
      </c>
      <c r="U87">
        <v>10</v>
      </c>
      <c r="V87">
        <v>4</v>
      </c>
      <c r="W87">
        <v>1</v>
      </c>
      <c r="X87">
        <v>10</v>
      </c>
      <c r="Y87">
        <v>0</v>
      </c>
      <c r="Z87">
        <v>15</v>
      </c>
      <c r="AA87">
        <v>15</v>
      </c>
      <c r="AB87">
        <v>29</v>
      </c>
      <c r="AC87">
        <v>49</v>
      </c>
      <c r="AD87">
        <v>29</v>
      </c>
      <c r="AE87">
        <v>18</v>
      </c>
      <c r="AF87">
        <v>49</v>
      </c>
      <c r="AG87">
        <v>69</v>
      </c>
      <c r="AH87">
        <v>39</v>
      </c>
      <c r="AI87">
        <v>17</v>
      </c>
      <c r="AJ87">
        <v>1</v>
      </c>
      <c r="AK87">
        <v>0</v>
      </c>
      <c r="AL87">
        <v>-1</v>
      </c>
      <c r="AM87">
        <v>-1</v>
      </c>
      <c r="AN87">
        <v>0</v>
      </c>
      <c r="AO87">
        <v>0</v>
      </c>
      <c r="AP87">
        <v>0</v>
      </c>
      <c r="AQ87">
        <v>0</v>
      </c>
      <c r="AR87">
        <f t="shared" si="158"/>
        <v>0</v>
      </c>
      <c r="AS87">
        <f>IF(AND(IFERROR(VLOOKUP(AJ87,Equip!$A:$N,13,FALSE),0)&gt;=5,IFERROR(VLOOKUP(AJ87,Equip!$A:$N,13,FALSE),0)&lt;=9),INT(VLOOKUP(AJ87,Equip!$A:$N,6,FALSE)*SQRT(AN87)),0)</f>
        <v>0</v>
      </c>
      <c r="AT87">
        <f>IF(AND(IFERROR(VLOOKUP(AK87,Equip!$A:$N,13,FALSE),0)&gt;=5,IFERROR(VLOOKUP(AK87,Equip!$A:$N,13,FALSE),0)&lt;=9),INT(VLOOKUP(AK87,Equip!$A:$N,6,FALSE)*SQRT(AO87)),0)</f>
        <v>0</v>
      </c>
      <c r="AU87">
        <f>IF(AND(IFERROR(VLOOKUP(AL87,Equip!$A:$N,13,FALSE),0)&gt;=5,IFERROR(VLOOKUP(AL87,Equip!$A:$N,13,FALSE),0)&lt;=9),INT(VLOOKUP(AL87,Equip!$A:$N,6,FALSE)*SQRT(AP87)),0)</f>
        <v>0</v>
      </c>
      <c r="AV87">
        <f>IF(AND(IFERROR(VLOOKUP(AM87,Equip!$A:$N,13,FALSE),0)&gt;=5,IFERROR(VLOOKUP(AM87,Equip!$A:$N,13,FALSE),0)&lt;=9),INT(VLOOKUP(AM87,Equip!$A:$N,6,FALSE)*SQRT(AQ87)),0)</f>
        <v>0</v>
      </c>
      <c r="AW87">
        <f t="shared" si="147"/>
        <v>0</v>
      </c>
      <c r="AX87">
        <f t="shared" si="148"/>
        <v>263</v>
      </c>
    </row>
    <row r="88" spans="1:50">
      <c r="A88">
        <v>34</v>
      </c>
      <c r="B88" t="s">
        <v>768</v>
      </c>
      <c r="C88" t="s">
        <v>768</v>
      </c>
      <c r="D88">
        <v>1</v>
      </c>
      <c r="E88">
        <f>E87</f>
        <v>1209</v>
      </c>
      <c r="F88">
        <f t="shared" ref="F88" si="211">F87</f>
        <v>704</v>
      </c>
      <c r="G88">
        <f t="shared" ref="G88" si="212">G87</f>
        <v>34</v>
      </c>
      <c r="H88">
        <f t="shared" ref="H88" si="213">H87</f>
        <v>0</v>
      </c>
      <c r="I88">
        <f t="shared" ref="I88" si="214">I87</f>
        <v>1</v>
      </c>
      <c r="J88">
        <f t="shared" ref="J88" si="215">J87</f>
        <v>6</v>
      </c>
      <c r="K88">
        <v>1</v>
      </c>
      <c r="L88">
        <v>1</v>
      </c>
      <c r="M88">
        <v>24</v>
      </c>
      <c r="N88">
        <v>24</v>
      </c>
      <c r="O88">
        <v>12</v>
      </c>
      <c r="P88">
        <v>14</v>
      </c>
      <c r="Q88">
        <v>23</v>
      </c>
      <c r="R88">
        <v>49</v>
      </c>
      <c r="S88">
        <v>15</v>
      </c>
      <c r="T88">
        <v>26</v>
      </c>
      <c r="U88">
        <f t="shared" ref="U88" si="216">U87</f>
        <v>10</v>
      </c>
      <c r="V88">
        <v>12</v>
      </c>
      <c r="W88">
        <f t="shared" ref="W88" si="217">W87</f>
        <v>1</v>
      </c>
      <c r="X88">
        <v>12</v>
      </c>
      <c r="Y88">
        <f t="shared" ref="Y88" si="218">Y87</f>
        <v>0</v>
      </c>
      <c r="Z88">
        <v>15</v>
      </c>
      <c r="AA88">
        <v>15</v>
      </c>
      <c r="AB88">
        <v>39</v>
      </c>
      <c r="AC88">
        <v>69</v>
      </c>
      <c r="AD88">
        <v>39</v>
      </c>
      <c r="AE88">
        <v>39</v>
      </c>
      <c r="AF88">
        <v>59</v>
      </c>
      <c r="AG88">
        <v>89</v>
      </c>
      <c r="AH88">
        <v>59</v>
      </c>
      <c r="AI88">
        <v>39</v>
      </c>
      <c r="AJ88">
        <v>2</v>
      </c>
      <c r="AK88">
        <v>14</v>
      </c>
      <c r="AL88">
        <v>0</v>
      </c>
      <c r="AM88">
        <v>-1</v>
      </c>
      <c r="AN88">
        <v>0</v>
      </c>
      <c r="AO88">
        <v>0</v>
      </c>
      <c r="AP88">
        <v>0</v>
      </c>
      <c r="AQ88">
        <v>0</v>
      </c>
      <c r="AR88">
        <f t="shared" si="158"/>
        <v>0</v>
      </c>
      <c r="AS88">
        <f>IF(AND(IFERROR(VLOOKUP(AJ88,Equip!$A:$N,13,FALSE),0)&gt;=5,IFERROR(VLOOKUP(AJ88,Equip!$A:$N,13,FALSE),0)&lt;=9),INT(VLOOKUP(AJ88,Equip!$A:$N,6,FALSE)*SQRT(AN88)),0)</f>
        <v>0</v>
      </c>
      <c r="AT88">
        <f>IF(AND(IFERROR(VLOOKUP(AK88,Equip!$A:$N,13,FALSE),0)&gt;=5,IFERROR(VLOOKUP(AK88,Equip!$A:$N,13,FALSE),0)&lt;=9),INT(VLOOKUP(AK88,Equip!$A:$N,6,FALSE)*SQRT(AO88)),0)</f>
        <v>0</v>
      </c>
      <c r="AU88">
        <f>IF(AND(IFERROR(VLOOKUP(AL88,Equip!$A:$N,13,FALSE),0)&gt;=5,IFERROR(VLOOKUP(AL88,Equip!$A:$N,13,FALSE),0)&lt;=9),INT(VLOOKUP(AL88,Equip!$A:$N,6,FALSE)*SQRT(AP88)),0)</f>
        <v>0</v>
      </c>
      <c r="AV88">
        <f>IF(AND(IFERROR(VLOOKUP(AM88,Equip!$A:$N,13,FALSE),0)&gt;=5,IFERROR(VLOOKUP(AM88,Equip!$A:$N,13,FALSE),0)&lt;=9),INT(VLOOKUP(AM88,Equip!$A:$N,6,FALSE)*SQRT(AQ88)),0)</f>
        <v>0</v>
      </c>
      <c r="AW88">
        <f t="shared" si="147"/>
        <v>0</v>
      </c>
      <c r="AX88">
        <f t="shared" si="148"/>
        <v>397</v>
      </c>
    </row>
    <row r="89" spans="1:50">
      <c r="A89">
        <v>35</v>
      </c>
      <c r="B89" t="s">
        <v>769</v>
      </c>
      <c r="C89" t="s">
        <v>769</v>
      </c>
      <c r="D89">
        <v>0</v>
      </c>
      <c r="E89">
        <v>1209</v>
      </c>
      <c r="F89">
        <v>704</v>
      </c>
      <c r="G89">
        <v>35</v>
      </c>
      <c r="H89">
        <v>0</v>
      </c>
      <c r="I89">
        <v>1</v>
      </c>
      <c r="J89">
        <v>0</v>
      </c>
      <c r="K89">
        <v>1</v>
      </c>
      <c r="L89">
        <v>1</v>
      </c>
      <c r="M89">
        <v>13</v>
      </c>
      <c r="N89">
        <v>13</v>
      </c>
      <c r="O89">
        <v>6</v>
      </c>
      <c r="P89">
        <v>5</v>
      </c>
      <c r="Q89">
        <v>18</v>
      </c>
      <c r="R89">
        <v>37</v>
      </c>
      <c r="S89">
        <v>7</v>
      </c>
      <c r="T89">
        <v>16</v>
      </c>
      <c r="U89">
        <v>10</v>
      </c>
      <c r="V89">
        <v>4</v>
      </c>
      <c r="W89">
        <v>1</v>
      </c>
      <c r="X89">
        <v>15</v>
      </c>
      <c r="Y89">
        <v>0</v>
      </c>
      <c r="Z89">
        <v>15</v>
      </c>
      <c r="AA89">
        <v>15</v>
      </c>
      <c r="AB89">
        <v>29</v>
      </c>
      <c r="AC89">
        <v>49</v>
      </c>
      <c r="AD89">
        <v>29</v>
      </c>
      <c r="AE89">
        <v>18</v>
      </c>
      <c r="AF89">
        <v>69</v>
      </c>
      <c r="AG89">
        <v>69</v>
      </c>
      <c r="AH89">
        <v>39</v>
      </c>
      <c r="AI89">
        <v>17</v>
      </c>
      <c r="AJ89">
        <v>1</v>
      </c>
      <c r="AK89">
        <v>0</v>
      </c>
      <c r="AL89">
        <v>-1</v>
      </c>
      <c r="AM89">
        <v>-1</v>
      </c>
      <c r="AN89">
        <v>0</v>
      </c>
      <c r="AO89">
        <v>0</v>
      </c>
      <c r="AP89">
        <v>0</v>
      </c>
      <c r="AQ89">
        <v>0</v>
      </c>
      <c r="AR89">
        <f t="shared" si="158"/>
        <v>0</v>
      </c>
      <c r="AS89">
        <f>IF(AND(IFERROR(VLOOKUP(AJ89,Equip!$A:$N,13,FALSE),0)&gt;=5,IFERROR(VLOOKUP(AJ89,Equip!$A:$N,13,FALSE),0)&lt;=9),INT(VLOOKUP(AJ89,Equip!$A:$N,6,FALSE)*SQRT(AN89)),0)</f>
        <v>0</v>
      </c>
      <c r="AT89">
        <f>IF(AND(IFERROR(VLOOKUP(AK89,Equip!$A:$N,13,FALSE),0)&gt;=5,IFERROR(VLOOKUP(AK89,Equip!$A:$N,13,FALSE),0)&lt;=9),INT(VLOOKUP(AK89,Equip!$A:$N,6,FALSE)*SQRT(AO89)),0)</f>
        <v>0</v>
      </c>
      <c r="AU89">
        <f>IF(AND(IFERROR(VLOOKUP(AL89,Equip!$A:$N,13,FALSE),0)&gt;=5,IFERROR(VLOOKUP(AL89,Equip!$A:$N,13,FALSE),0)&lt;=9),INT(VLOOKUP(AL89,Equip!$A:$N,6,FALSE)*SQRT(AP89)),0)</f>
        <v>0</v>
      </c>
      <c r="AV89">
        <f>IF(AND(IFERROR(VLOOKUP(AM89,Equip!$A:$N,13,FALSE),0)&gt;=5,IFERROR(VLOOKUP(AM89,Equip!$A:$N,13,FALSE),0)&lt;=9),INT(VLOOKUP(AM89,Equip!$A:$N,6,FALSE)*SQRT(AQ89)),0)</f>
        <v>0</v>
      </c>
      <c r="AW89">
        <f t="shared" si="147"/>
        <v>0</v>
      </c>
      <c r="AX89">
        <f t="shared" si="148"/>
        <v>263</v>
      </c>
    </row>
    <row r="90" spans="1:50">
      <c r="A90">
        <v>35</v>
      </c>
      <c r="B90" t="s">
        <v>769</v>
      </c>
      <c r="C90" t="s">
        <v>769</v>
      </c>
      <c r="D90">
        <v>1</v>
      </c>
      <c r="E90">
        <f>E89</f>
        <v>1209</v>
      </c>
      <c r="F90">
        <f t="shared" ref="F90" si="219">F89</f>
        <v>704</v>
      </c>
      <c r="G90">
        <f t="shared" ref="G90" si="220">G89</f>
        <v>35</v>
      </c>
      <c r="H90">
        <f t="shared" ref="H90" si="221">H89</f>
        <v>0</v>
      </c>
      <c r="I90">
        <f t="shared" ref="I90" si="222">I89</f>
        <v>1</v>
      </c>
      <c r="J90">
        <f t="shared" ref="J90" si="223">J89</f>
        <v>0</v>
      </c>
      <c r="K90">
        <v>1</v>
      </c>
      <c r="L90">
        <v>1</v>
      </c>
      <c r="M90">
        <v>24</v>
      </c>
      <c r="N90">
        <v>24</v>
      </c>
      <c r="O90">
        <v>12</v>
      </c>
      <c r="P90">
        <v>14</v>
      </c>
      <c r="Q90">
        <v>27</v>
      </c>
      <c r="R90">
        <v>49</v>
      </c>
      <c r="S90">
        <v>15</v>
      </c>
      <c r="T90">
        <v>26</v>
      </c>
      <c r="U90">
        <f t="shared" ref="U90" si="224">U89</f>
        <v>10</v>
      </c>
      <c r="V90">
        <v>12</v>
      </c>
      <c r="W90">
        <f t="shared" ref="W90" si="225">W89</f>
        <v>1</v>
      </c>
      <c r="X90">
        <v>20</v>
      </c>
      <c r="Y90">
        <f t="shared" ref="Y90" si="226">Y89</f>
        <v>0</v>
      </c>
      <c r="Z90">
        <v>15</v>
      </c>
      <c r="AA90">
        <v>15</v>
      </c>
      <c r="AB90">
        <v>39</v>
      </c>
      <c r="AC90">
        <v>69</v>
      </c>
      <c r="AD90">
        <v>39</v>
      </c>
      <c r="AE90">
        <v>39</v>
      </c>
      <c r="AF90">
        <v>79</v>
      </c>
      <c r="AG90">
        <v>89</v>
      </c>
      <c r="AH90">
        <v>59</v>
      </c>
      <c r="AI90">
        <v>39</v>
      </c>
      <c r="AJ90">
        <v>2</v>
      </c>
      <c r="AK90">
        <v>15</v>
      </c>
      <c r="AL90">
        <v>0</v>
      </c>
      <c r="AM90">
        <v>-1</v>
      </c>
      <c r="AN90">
        <v>0</v>
      </c>
      <c r="AO90">
        <v>0</v>
      </c>
      <c r="AP90">
        <v>0</v>
      </c>
      <c r="AQ90">
        <v>0</v>
      </c>
      <c r="AR90">
        <f t="shared" si="158"/>
        <v>0</v>
      </c>
      <c r="AS90">
        <f>IF(AND(IFERROR(VLOOKUP(AJ90,Equip!$A:$N,13,FALSE),0)&gt;=5,IFERROR(VLOOKUP(AJ90,Equip!$A:$N,13,FALSE),0)&lt;=9),INT(VLOOKUP(AJ90,Equip!$A:$N,6,FALSE)*SQRT(AN90)),0)</f>
        <v>0</v>
      </c>
      <c r="AT90">
        <f>IF(AND(IFERROR(VLOOKUP(AK90,Equip!$A:$N,13,FALSE),0)&gt;=5,IFERROR(VLOOKUP(AK90,Equip!$A:$N,13,FALSE),0)&lt;=9),INT(VLOOKUP(AK90,Equip!$A:$N,6,FALSE)*SQRT(AO90)),0)</f>
        <v>0</v>
      </c>
      <c r="AU90">
        <f>IF(AND(IFERROR(VLOOKUP(AL90,Equip!$A:$N,13,FALSE),0)&gt;=5,IFERROR(VLOOKUP(AL90,Equip!$A:$N,13,FALSE),0)&lt;=9),INT(VLOOKUP(AL90,Equip!$A:$N,6,FALSE)*SQRT(AP90)),0)</f>
        <v>0</v>
      </c>
      <c r="AV90">
        <f>IF(AND(IFERROR(VLOOKUP(AM90,Equip!$A:$N,13,FALSE),0)&gt;=5,IFERROR(VLOOKUP(AM90,Equip!$A:$N,13,FALSE),0)&lt;=9),INT(VLOOKUP(AM90,Equip!$A:$N,6,FALSE)*SQRT(AQ90)),0)</f>
        <v>0</v>
      </c>
      <c r="AW90">
        <f t="shared" si="147"/>
        <v>0</v>
      </c>
      <c r="AX90">
        <f t="shared" si="148"/>
        <v>397</v>
      </c>
    </row>
    <row r="91" spans="1:50">
      <c r="A91">
        <v>36</v>
      </c>
      <c r="B91" t="s">
        <v>770</v>
      </c>
      <c r="C91" t="s">
        <v>770</v>
      </c>
      <c r="D91">
        <v>0</v>
      </c>
      <c r="E91">
        <v>1209</v>
      </c>
      <c r="F91">
        <v>704</v>
      </c>
      <c r="G91">
        <v>36</v>
      </c>
      <c r="H91">
        <v>0</v>
      </c>
      <c r="I91">
        <v>1</v>
      </c>
      <c r="J91">
        <v>10</v>
      </c>
      <c r="K91">
        <v>1</v>
      </c>
      <c r="L91">
        <v>1</v>
      </c>
      <c r="M91">
        <v>13</v>
      </c>
      <c r="N91">
        <v>13</v>
      </c>
      <c r="O91">
        <v>6</v>
      </c>
      <c r="P91">
        <v>5</v>
      </c>
      <c r="Q91">
        <v>18</v>
      </c>
      <c r="R91">
        <v>37</v>
      </c>
      <c r="S91">
        <v>7</v>
      </c>
      <c r="T91">
        <v>16</v>
      </c>
      <c r="U91">
        <v>10</v>
      </c>
      <c r="V91">
        <v>4</v>
      </c>
      <c r="W91">
        <v>1</v>
      </c>
      <c r="X91">
        <v>10</v>
      </c>
      <c r="Y91">
        <v>0</v>
      </c>
      <c r="Z91">
        <v>15</v>
      </c>
      <c r="AA91">
        <v>15</v>
      </c>
      <c r="AB91">
        <v>29</v>
      </c>
      <c r="AC91">
        <v>49</v>
      </c>
      <c r="AD91">
        <v>29</v>
      </c>
      <c r="AE91">
        <v>18</v>
      </c>
      <c r="AF91">
        <v>49</v>
      </c>
      <c r="AG91">
        <v>69</v>
      </c>
      <c r="AH91">
        <v>39</v>
      </c>
      <c r="AI91">
        <v>17</v>
      </c>
      <c r="AJ91">
        <v>1</v>
      </c>
      <c r="AK91">
        <v>0</v>
      </c>
      <c r="AL91">
        <v>-1</v>
      </c>
      <c r="AM91">
        <v>-1</v>
      </c>
      <c r="AN91">
        <v>0</v>
      </c>
      <c r="AO91">
        <v>0</v>
      </c>
      <c r="AP91">
        <v>0</v>
      </c>
      <c r="AQ91">
        <v>0</v>
      </c>
      <c r="AR91">
        <f t="shared" si="158"/>
        <v>0</v>
      </c>
      <c r="AS91">
        <f>IF(AND(IFERROR(VLOOKUP(AJ91,Equip!$A:$N,13,FALSE),0)&gt;=5,IFERROR(VLOOKUP(AJ91,Equip!$A:$N,13,FALSE),0)&lt;=9),INT(VLOOKUP(AJ91,Equip!$A:$N,6,FALSE)*SQRT(AN91)),0)</f>
        <v>0</v>
      </c>
      <c r="AT91">
        <f>IF(AND(IFERROR(VLOOKUP(AK91,Equip!$A:$N,13,FALSE),0)&gt;=5,IFERROR(VLOOKUP(AK91,Equip!$A:$N,13,FALSE),0)&lt;=9),INT(VLOOKUP(AK91,Equip!$A:$N,6,FALSE)*SQRT(AO91)),0)</f>
        <v>0</v>
      </c>
      <c r="AU91">
        <f>IF(AND(IFERROR(VLOOKUP(AL91,Equip!$A:$N,13,FALSE),0)&gt;=5,IFERROR(VLOOKUP(AL91,Equip!$A:$N,13,FALSE),0)&lt;=9),INT(VLOOKUP(AL91,Equip!$A:$N,6,FALSE)*SQRT(AP91)),0)</f>
        <v>0</v>
      </c>
      <c r="AV91">
        <f>IF(AND(IFERROR(VLOOKUP(AM91,Equip!$A:$N,13,FALSE),0)&gt;=5,IFERROR(VLOOKUP(AM91,Equip!$A:$N,13,FALSE),0)&lt;=9),INT(VLOOKUP(AM91,Equip!$A:$N,6,FALSE)*SQRT(AQ91)),0)</f>
        <v>0</v>
      </c>
      <c r="AW91">
        <f t="shared" si="147"/>
        <v>0</v>
      </c>
      <c r="AX91">
        <f t="shared" si="148"/>
        <v>263</v>
      </c>
    </row>
    <row r="92" spans="1:50">
      <c r="A92">
        <v>36</v>
      </c>
      <c r="B92" t="s">
        <v>770</v>
      </c>
      <c r="C92" t="s">
        <v>770</v>
      </c>
      <c r="D92">
        <v>1</v>
      </c>
      <c r="E92">
        <f>E91</f>
        <v>1209</v>
      </c>
      <c r="F92">
        <f t="shared" ref="F92" si="227">F91</f>
        <v>704</v>
      </c>
      <c r="G92">
        <f t="shared" ref="G92" si="228">G91</f>
        <v>36</v>
      </c>
      <c r="H92">
        <f t="shared" ref="H92" si="229">H91</f>
        <v>0</v>
      </c>
      <c r="I92">
        <f t="shared" ref="I92" si="230">I91</f>
        <v>1</v>
      </c>
      <c r="J92">
        <f t="shared" ref="J92" si="231">J91</f>
        <v>10</v>
      </c>
      <c r="K92">
        <v>1</v>
      </c>
      <c r="L92">
        <v>1</v>
      </c>
      <c r="M92">
        <v>24</v>
      </c>
      <c r="N92">
        <v>24</v>
      </c>
      <c r="O92">
        <v>12</v>
      </c>
      <c r="P92">
        <v>14</v>
      </c>
      <c r="Q92">
        <v>23</v>
      </c>
      <c r="R92">
        <v>49</v>
      </c>
      <c r="S92">
        <v>15</v>
      </c>
      <c r="T92">
        <v>26</v>
      </c>
      <c r="U92">
        <f t="shared" ref="U92" si="232">U91</f>
        <v>10</v>
      </c>
      <c r="V92">
        <v>12</v>
      </c>
      <c r="W92">
        <f t="shared" ref="W92" si="233">W91</f>
        <v>1</v>
      </c>
      <c r="X92">
        <v>12</v>
      </c>
      <c r="Y92">
        <f t="shared" ref="Y92" si="234">Y91</f>
        <v>0</v>
      </c>
      <c r="Z92">
        <v>15</v>
      </c>
      <c r="AA92">
        <v>15</v>
      </c>
      <c r="AB92">
        <v>39</v>
      </c>
      <c r="AC92">
        <v>69</v>
      </c>
      <c r="AD92">
        <v>39</v>
      </c>
      <c r="AE92">
        <v>39</v>
      </c>
      <c r="AF92">
        <v>59</v>
      </c>
      <c r="AG92">
        <v>89</v>
      </c>
      <c r="AH92">
        <v>59</v>
      </c>
      <c r="AI92">
        <v>39</v>
      </c>
      <c r="AJ92">
        <v>2</v>
      </c>
      <c r="AK92">
        <v>13</v>
      </c>
      <c r="AL92">
        <v>0</v>
      </c>
      <c r="AM92">
        <v>-1</v>
      </c>
      <c r="AN92">
        <v>0</v>
      </c>
      <c r="AO92">
        <v>0</v>
      </c>
      <c r="AP92">
        <v>0</v>
      </c>
      <c r="AQ92">
        <v>0</v>
      </c>
      <c r="AR92">
        <f t="shared" si="158"/>
        <v>0</v>
      </c>
      <c r="AS92">
        <f>IF(AND(IFERROR(VLOOKUP(AJ92,Equip!$A:$N,13,FALSE),0)&gt;=5,IFERROR(VLOOKUP(AJ92,Equip!$A:$N,13,FALSE),0)&lt;=9),INT(VLOOKUP(AJ92,Equip!$A:$N,6,FALSE)*SQRT(AN92)),0)</f>
        <v>0</v>
      </c>
      <c r="AT92">
        <f>IF(AND(IFERROR(VLOOKUP(AK92,Equip!$A:$N,13,FALSE),0)&gt;=5,IFERROR(VLOOKUP(AK92,Equip!$A:$N,13,FALSE),0)&lt;=9),INT(VLOOKUP(AK92,Equip!$A:$N,6,FALSE)*SQRT(AO92)),0)</f>
        <v>0</v>
      </c>
      <c r="AU92">
        <f>IF(AND(IFERROR(VLOOKUP(AL92,Equip!$A:$N,13,FALSE),0)&gt;=5,IFERROR(VLOOKUP(AL92,Equip!$A:$N,13,FALSE),0)&lt;=9),INT(VLOOKUP(AL92,Equip!$A:$N,6,FALSE)*SQRT(AP92)),0)</f>
        <v>0</v>
      </c>
      <c r="AV92">
        <f>IF(AND(IFERROR(VLOOKUP(AM92,Equip!$A:$N,13,FALSE),0)&gt;=5,IFERROR(VLOOKUP(AM92,Equip!$A:$N,13,FALSE),0)&lt;=9),INT(VLOOKUP(AM92,Equip!$A:$N,6,FALSE)*SQRT(AQ92)),0)</f>
        <v>0</v>
      </c>
      <c r="AW92">
        <f t="shared" si="147"/>
        <v>0</v>
      </c>
      <c r="AX92">
        <f t="shared" si="148"/>
        <v>397</v>
      </c>
    </row>
    <row r="93" spans="1:50">
      <c r="A93">
        <v>37</v>
      </c>
      <c r="B93" t="s">
        <v>771</v>
      </c>
      <c r="C93" t="s">
        <v>771</v>
      </c>
      <c r="D93">
        <v>0</v>
      </c>
      <c r="E93">
        <v>1209</v>
      </c>
      <c r="F93">
        <v>704</v>
      </c>
      <c r="G93">
        <v>37</v>
      </c>
      <c r="H93">
        <v>0</v>
      </c>
      <c r="I93">
        <v>1</v>
      </c>
      <c r="J93">
        <v>0</v>
      </c>
      <c r="K93">
        <v>1</v>
      </c>
      <c r="L93">
        <v>1</v>
      </c>
      <c r="M93">
        <v>13</v>
      </c>
      <c r="N93">
        <v>13</v>
      </c>
      <c r="O93">
        <v>6</v>
      </c>
      <c r="P93">
        <v>5</v>
      </c>
      <c r="Q93">
        <v>18</v>
      </c>
      <c r="R93">
        <v>37</v>
      </c>
      <c r="S93">
        <v>7</v>
      </c>
      <c r="T93">
        <v>16</v>
      </c>
      <c r="U93">
        <v>10</v>
      </c>
      <c r="V93">
        <v>4</v>
      </c>
      <c r="W93">
        <v>1</v>
      </c>
      <c r="X93">
        <v>10</v>
      </c>
      <c r="Y93">
        <v>0</v>
      </c>
      <c r="Z93">
        <v>15</v>
      </c>
      <c r="AA93">
        <v>15</v>
      </c>
      <c r="AB93">
        <v>29</v>
      </c>
      <c r="AC93">
        <v>49</v>
      </c>
      <c r="AD93">
        <v>29</v>
      </c>
      <c r="AE93">
        <v>18</v>
      </c>
      <c r="AF93">
        <v>49</v>
      </c>
      <c r="AG93">
        <v>69</v>
      </c>
      <c r="AH93">
        <v>39</v>
      </c>
      <c r="AI93">
        <v>17</v>
      </c>
      <c r="AJ93">
        <v>1</v>
      </c>
      <c r="AK93">
        <v>0</v>
      </c>
      <c r="AL93">
        <v>-1</v>
      </c>
      <c r="AM93">
        <v>-1</v>
      </c>
      <c r="AN93">
        <v>0</v>
      </c>
      <c r="AO93">
        <v>0</v>
      </c>
      <c r="AP93">
        <v>0</v>
      </c>
      <c r="AQ93">
        <v>0</v>
      </c>
      <c r="AR93">
        <f t="shared" si="158"/>
        <v>0</v>
      </c>
      <c r="AS93">
        <f>IF(AND(IFERROR(VLOOKUP(AJ93,Equip!$A:$N,13,FALSE),0)&gt;=5,IFERROR(VLOOKUP(AJ93,Equip!$A:$N,13,FALSE),0)&lt;=9),INT(VLOOKUP(AJ93,Equip!$A:$N,6,FALSE)*SQRT(AN93)),0)</f>
        <v>0</v>
      </c>
      <c r="AT93">
        <f>IF(AND(IFERROR(VLOOKUP(AK93,Equip!$A:$N,13,FALSE),0)&gt;=5,IFERROR(VLOOKUP(AK93,Equip!$A:$N,13,FALSE),0)&lt;=9),INT(VLOOKUP(AK93,Equip!$A:$N,6,FALSE)*SQRT(AO93)),0)</f>
        <v>0</v>
      </c>
      <c r="AU93">
        <f>IF(AND(IFERROR(VLOOKUP(AL93,Equip!$A:$N,13,FALSE),0)&gt;=5,IFERROR(VLOOKUP(AL93,Equip!$A:$N,13,FALSE),0)&lt;=9),INT(VLOOKUP(AL93,Equip!$A:$N,6,FALSE)*SQRT(AP93)),0)</f>
        <v>0</v>
      </c>
      <c r="AV93">
        <f>IF(AND(IFERROR(VLOOKUP(AM93,Equip!$A:$N,13,FALSE),0)&gt;=5,IFERROR(VLOOKUP(AM93,Equip!$A:$N,13,FALSE),0)&lt;=9),INT(VLOOKUP(AM93,Equip!$A:$N,6,FALSE)*SQRT(AQ93)),0)</f>
        <v>0</v>
      </c>
      <c r="AW93">
        <f t="shared" si="147"/>
        <v>0</v>
      </c>
      <c r="AX93">
        <f t="shared" si="148"/>
        <v>263</v>
      </c>
    </row>
    <row r="94" spans="1:50">
      <c r="A94">
        <v>37</v>
      </c>
      <c r="B94" t="s">
        <v>771</v>
      </c>
      <c r="C94" t="s">
        <v>771</v>
      </c>
      <c r="D94">
        <v>1</v>
      </c>
      <c r="E94">
        <f>E93</f>
        <v>1209</v>
      </c>
      <c r="F94">
        <f t="shared" ref="F94" si="235">F93</f>
        <v>704</v>
      </c>
      <c r="G94">
        <f t="shared" ref="G94" si="236">G93</f>
        <v>37</v>
      </c>
      <c r="H94">
        <f t="shared" ref="H94" si="237">H93</f>
        <v>0</v>
      </c>
      <c r="I94">
        <f t="shared" ref="I94" si="238">I93</f>
        <v>1</v>
      </c>
      <c r="J94">
        <f t="shared" ref="J94" si="239">J93</f>
        <v>0</v>
      </c>
      <c r="K94">
        <v>1</v>
      </c>
      <c r="L94">
        <v>1</v>
      </c>
      <c r="M94">
        <v>24</v>
      </c>
      <c r="N94">
        <v>24</v>
      </c>
      <c r="O94">
        <v>12</v>
      </c>
      <c r="P94">
        <v>14</v>
      </c>
      <c r="Q94">
        <v>23</v>
      </c>
      <c r="R94">
        <v>49</v>
      </c>
      <c r="S94">
        <v>15</v>
      </c>
      <c r="T94">
        <v>26</v>
      </c>
      <c r="U94">
        <f t="shared" ref="U94" si="240">U93</f>
        <v>10</v>
      </c>
      <c r="V94">
        <v>12</v>
      </c>
      <c r="W94">
        <f t="shared" ref="W94" si="241">W93</f>
        <v>1</v>
      </c>
      <c r="X94">
        <v>12</v>
      </c>
      <c r="Y94">
        <f t="shared" ref="Y94" si="242">Y93</f>
        <v>0</v>
      </c>
      <c r="Z94">
        <v>15</v>
      </c>
      <c r="AA94">
        <v>15</v>
      </c>
      <c r="AB94">
        <v>39</v>
      </c>
      <c r="AC94">
        <v>69</v>
      </c>
      <c r="AD94">
        <v>39</v>
      </c>
      <c r="AE94">
        <v>39</v>
      </c>
      <c r="AF94">
        <v>59</v>
      </c>
      <c r="AG94">
        <v>89</v>
      </c>
      <c r="AH94">
        <v>59</v>
      </c>
      <c r="AI94">
        <v>39</v>
      </c>
      <c r="AJ94">
        <v>2</v>
      </c>
      <c r="AK94">
        <v>13</v>
      </c>
      <c r="AL94">
        <v>0</v>
      </c>
      <c r="AM94">
        <v>-1</v>
      </c>
      <c r="AN94">
        <v>0</v>
      </c>
      <c r="AO94">
        <v>0</v>
      </c>
      <c r="AP94">
        <v>0</v>
      </c>
      <c r="AQ94">
        <v>0</v>
      </c>
      <c r="AR94">
        <f t="shared" si="158"/>
        <v>0</v>
      </c>
      <c r="AS94">
        <f>IF(AND(IFERROR(VLOOKUP(AJ94,Equip!$A:$N,13,FALSE),0)&gt;=5,IFERROR(VLOOKUP(AJ94,Equip!$A:$N,13,FALSE),0)&lt;=9),INT(VLOOKUP(AJ94,Equip!$A:$N,6,FALSE)*SQRT(AN94)),0)</f>
        <v>0</v>
      </c>
      <c r="AT94">
        <f>IF(AND(IFERROR(VLOOKUP(AK94,Equip!$A:$N,13,FALSE),0)&gt;=5,IFERROR(VLOOKUP(AK94,Equip!$A:$N,13,FALSE),0)&lt;=9),INT(VLOOKUP(AK94,Equip!$A:$N,6,FALSE)*SQRT(AO94)),0)</f>
        <v>0</v>
      </c>
      <c r="AU94">
        <f>IF(AND(IFERROR(VLOOKUP(AL94,Equip!$A:$N,13,FALSE),0)&gt;=5,IFERROR(VLOOKUP(AL94,Equip!$A:$N,13,FALSE),0)&lt;=9),INT(VLOOKUP(AL94,Equip!$A:$N,6,FALSE)*SQRT(AP94)),0)</f>
        <v>0</v>
      </c>
      <c r="AV94">
        <f>IF(AND(IFERROR(VLOOKUP(AM94,Equip!$A:$N,13,FALSE),0)&gt;=5,IFERROR(VLOOKUP(AM94,Equip!$A:$N,13,FALSE),0)&lt;=9),INT(VLOOKUP(AM94,Equip!$A:$N,6,FALSE)*SQRT(AQ94)),0)</f>
        <v>0</v>
      </c>
      <c r="AW94">
        <f t="shared" si="147"/>
        <v>0</v>
      </c>
      <c r="AX94">
        <f t="shared" si="148"/>
        <v>397</v>
      </c>
    </row>
    <row r="95" spans="1:50">
      <c r="A95">
        <v>38</v>
      </c>
      <c r="B95" t="s">
        <v>772</v>
      </c>
      <c r="C95" t="s">
        <v>772</v>
      </c>
      <c r="D95">
        <v>0</v>
      </c>
      <c r="E95">
        <v>1209</v>
      </c>
      <c r="F95">
        <v>704</v>
      </c>
      <c r="G95">
        <v>38</v>
      </c>
      <c r="H95">
        <v>0</v>
      </c>
      <c r="I95">
        <v>1</v>
      </c>
      <c r="J95">
        <v>10</v>
      </c>
      <c r="K95">
        <v>1</v>
      </c>
      <c r="L95">
        <v>1</v>
      </c>
      <c r="M95">
        <v>13</v>
      </c>
      <c r="N95">
        <v>13</v>
      </c>
      <c r="O95">
        <v>6</v>
      </c>
      <c r="P95">
        <v>5</v>
      </c>
      <c r="Q95">
        <v>18</v>
      </c>
      <c r="R95">
        <v>37</v>
      </c>
      <c r="S95">
        <v>7</v>
      </c>
      <c r="T95">
        <v>16</v>
      </c>
      <c r="U95">
        <v>10</v>
      </c>
      <c r="V95">
        <v>4</v>
      </c>
      <c r="W95">
        <v>1</v>
      </c>
      <c r="X95">
        <v>10</v>
      </c>
      <c r="Y95">
        <v>0</v>
      </c>
      <c r="Z95">
        <v>15</v>
      </c>
      <c r="AA95">
        <v>15</v>
      </c>
      <c r="AB95">
        <v>29</v>
      </c>
      <c r="AC95">
        <v>49</v>
      </c>
      <c r="AD95">
        <v>29</v>
      </c>
      <c r="AE95">
        <v>18</v>
      </c>
      <c r="AF95">
        <v>49</v>
      </c>
      <c r="AG95">
        <v>69</v>
      </c>
      <c r="AH95">
        <v>39</v>
      </c>
      <c r="AI95">
        <v>17</v>
      </c>
      <c r="AJ95">
        <v>1</v>
      </c>
      <c r="AK95">
        <v>0</v>
      </c>
      <c r="AL95">
        <v>-1</v>
      </c>
      <c r="AM95">
        <v>-1</v>
      </c>
      <c r="AN95">
        <v>0</v>
      </c>
      <c r="AO95">
        <v>0</v>
      </c>
      <c r="AP95">
        <v>0</v>
      </c>
      <c r="AQ95">
        <v>0</v>
      </c>
      <c r="AR95">
        <f t="shared" si="158"/>
        <v>0</v>
      </c>
      <c r="AS95">
        <f>IF(AND(IFERROR(VLOOKUP(AJ95,Equip!$A:$N,13,FALSE),0)&gt;=5,IFERROR(VLOOKUP(AJ95,Equip!$A:$N,13,FALSE),0)&lt;=9),INT(VLOOKUP(AJ95,Equip!$A:$N,6,FALSE)*SQRT(AN95)),0)</f>
        <v>0</v>
      </c>
      <c r="AT95">
        <f>IF(AND(IFERROR(VLOOKUP(AK95,Equip!$A:$N,13,FALSE),0)&gt;=5,IFERROR(VLOOKUP(AK95,Equip!$A:$N,13,FALSE),0)&lt;=9),INT(VLOOKUP(AK95,Equip!$A:$N,6,FALSE)*SQRT(AO95)),0)</f>
        <v>0</v>
      </c>
      <c r="AU95">
        <f>IF(AND(IFERROR(VLOOKUP(AL95,Equip!$A:$N,13,FALSE),0)&gt;=5,IFERROR(VLOOKUP(AL95,Equip!$A:$N,13,FALSE),0)&lt;=9),INT(VLOOKUP(AL95,Equip!$A:$N,6,FALSE)*SQRT(AP95)),0)</f>
        <v>0</v>
      </c>
      <c r="AV95">
        <f>IF(AND(IFERROR(VLOOKUP(AM95,Equip!$A:$N,13,FALSE),0)&gt;=5,IFERROR(VLOOKUP(AM95,Equip!$A:$N,13,FALSE),0)&lt;=9),INT(VLOOKUP(AM95,Equip!$A:$N,6,FALSE)*SQRT(AQ95)),0)</f>
        <v>0</v>
      </c>
      <c r="AW95">
        <f t="shared" si="147"/>
        <v>0</v>
      </c>
      <c r="AX95">
        <f t="shared" si="148"/>
        <v>263</v>
      </c>
    </row>
    <row r="96" spans="1:50">
      <c r="A96">
        <v>38</v>
      </c>
      <c r="B96" t="s">
        <v>772</v>
      </c>
      <c r="C96" t="s">
        <v>772</v>
      </c>
      <c r="D96">
        <v>1</v>
      </c>
      <c r="E96">
        <f>E95</f>
        <v>1209</v>
      </c>
      <c r="F96">
        <f t="shared" ref="F96" si="243">F95</f>
        <v>704</v>
      </c>
      <c r="G96">
        <f t="shared" ref="G96" si="244">G95</f>
        <v>38</v>
      </c>
      <c r="H96">
        <f t="shared" ref="H96" si="245">H95</f>
        <v>0</v>
      </c>
      <c r="I96">
        <f t="shared" ref="I96" si="246">I95</f>
        <v>1</v>
      </c>
      <c r="J96">
        <f t="shared" ref="J96" si="247">J95</f>
        <v>10</v>
      </c>
      <c r="K96">
        <v>1</v>
      </c>
      <c r="L96">
        <v>1</v>
      </c>
      <c r="M96">
        <v>24</v>
      </c>
      <c r="N96">
        <v>24</v>
      </c>
      <c r="O96">
        <v>9</v>
      </c>
      <c r="P96">
        <v>11</v>
      </c>
      <c r="Q96">
        <v>18</v>
      </c>
      <c r="R96">
        <v>40</v>
      </c>
      <c r="S96">
        <v>12</v>
      </c>
      <c r="T96">
        <v>18</v>
      </c>
      <c r="U96">
        <f t="shared" ref="U96" si="248">U95</f>
        <v>10</v>
      </c>
      <c r="V96">
        <v>6</v>
      </c>
      <c r="W96">
        <f t="shared" ref="W96" si="249">W95</f>
        <v>1</v>
      </c>
      <c r="X96">
        <v>12</v>
      </c>
      <c r="Y96">
        <f t="shared" ref="Y96" si="250">Y95</f>
        <v>0</v>
      </c>
      <c r="Z96">
        <v>15</v>
      </c>
      <c r="AA96">
        <v>15</v>
      </c>
      <c r="AB96">
        <v>39</v>
      </c>
      <c r="AC96">
        <v>69</v>
      </c>
      <c r="AD96">
        <v>39</v>
      </c>
      <c r="AE96">
        <v>39</v>
      </c>
      <c r="AF96">
        <v>59</v>
      </c>
      <c r="AG96">
        <v>89</v>
      </c>
      <c r="AH96">
        <v>59</v>
      </c>
      <c r="AI96">
        <v>39</v>
      </c>
      <c r="AJ96">
        <v>2</v>
      </c>
      <c r="AK96">
        <v>13</v>
      </c>
      <c r="AL96">
        <v>0</v>
      </c>
      <c r="AM96">
        <v>-1</v>
      </c>
      <c r="AN96">
        <v>0</v>
      </c>
      <c r="AO96">
        <v>0</v>
      </c>
      <c r="AP96">
        <v>0</v>
      </c>
      <c r="AQ96">
        <v>0</v>
      </c>
      <c r="AR96">
        <f t="shared" si="158"/>
        <v>0</v>
      </c>
      <c r="AS96">
        <f>IF(AND(IFERROR(VLOOKUP(AJ96,Equip!$A:$N,13,FALSE),0)&gt;=5,IFERROR(VLOOKUP(AJ96,Equip!$A:$N,13,FALSE),0)&lt;=9),INT(VLOOKUP(AJ96,Equip!$A:$N,6,FALSE)*SQRT(AN96)),0)</f>
        <v>0</v>
      </c>
      <c r="AT96">
        <f>IF(AND(IFERROR(VLOOKUP(AK96,Equip!$A:$N,13,FALSE),0)&gt;=5,IFERROR(VLOOKUP(AK96,Equip!$A:$N,13,FALSE),0)&lt;=9),INT(VLOOKUP(AK96,Equip!$A:$N,6,FALSE)*SQRT(AO96)),0)</f>
        <v>0</v>
      </c>
      <c r="AU96">
        <f>IF(AND(IFERROR(VLOOKUP(AL96,Equip!$A:$N,13,FALSE),0)&gt;=5,IFERROR(VLOOKUP(AL96,Equip!$A:$N,13,FALSE),0)&lt;=9),INT(VLOOKUP(AL96,Equip!$A:$N,6,FALSE)*SQRT(AP96)),0)</f>
        <v>0</v>
      </c>
      <c r="AV96">
        <f>IF(AND(IFERROR(VLOOKUP(AM96,Equip!$A:$N,13,FALSE),0)&gt;=5,IFERROR(VLOOKUP(AM96,Equip!$A:$N,13,FALSE),0)&lt;=9),INT(VLOOKUP(AM96,Equip!$A:$N,6,FALSE)*SQRT(AQ96)),0)</f>
        <v>0</v>
      </c>
      <c r="AW96">
        <f t="shared" si="147"/>
        <v>0</v>
      </c>
      <c r="AX96">
        <f t="shared" si="148"/>
        <v>397</v>
      </c>
    </row>
    <row r="97" spans="1:50">
      <c r="A97">
        <v>39</v>
      </c>
      <c r="B97" t="s">
        <v>773</v>
      </c>
      <c r="C97" t="s">
        <v>773</v>
      </c>
      <c r="D97">
        <v>0</v>
      </c>
      <c r="E97">
        <v>1600</v>
      </c>
      <c r="F97">
        <v>900</v>
      </c>
      <c r="G97">
        <v>39</v>
      </c>
      <c r="H97">
        <v>1</v>
      </c>
      <c r="I97">
        <v>1</v>
      </c>
      <c r="J97">
        <v>3</v>
      </c>
      <c r="K97">
        <v>2</v>
      </c>
      <c r="L97">
        <v>2</v>
      </c>
      <c r="M97">
        <v>25</v>
      </c>
      <c r="N97">
        <v>25</v>
      </c>
      <c r="O97">
        <v>14</v>
      </c>
      <c r="P97">
        <v>10</v>
      </c>
      <c r="Q97">
        <v>24</v>
      </c>
      <c r="R97">
        <v>36</v>
      </c>
      <c r="S97">
        <v>13</v>
      </c>
      <c r="T97">
        <v>19</v>
      </c>
      <c r="U97">
        <v>10</v>
      </c>
      <c r="V97">
        <v>8</v>
      </c>
      <c r="W97">
        <v>2</v>
      </c>
      <c r="X97">
        <v>12</v>
      </c>
      <c r="Y97">
        <v>0</v>
      </c>
      <c r="Z97">
        <v>25</v>
      </c>
      <c r="AA97">
        <v>25</v>
      </c>
      <c r="AB97">
        <v>49</v>
      </c>
      <c r="AC97">
        <v>89</v>
      </c>
      <c r="AD97">
        <v>59</v>
      </c>
      <c r="AE97">
        <v>29</v>
      </c>
      <c r="AF97">
        <v>49</v>
      </c>
      <c r="AG97">
        <v>79</v>
      </c>
      <c r="AH97">
        <v>59</v>
      </c>
      <c r="AI97">
        <v>39</v>
      </c>
      <c r="AJ97">
        <v>4</v>
      </c>
      <c r="AK97">
        <v>25</v>
      </c>
      <c r="AL97">
        <v>-1</v>
      </c>
      <c r="AM97">
        <v>-1</v>
      </c>
      <c r="AN97">
        <v>1</v>
      </c>
      <c r="AO97">
        <v>1</v>
      </c>
      <c r="AP97">
        <v>0</v>
      </c>
      <c r="AQ97">
        <v>0</v>
      </c>
      <c r="AR97">
        <f t="shared" si="158"/>
        <v>2</v>
      </c>
      <c r="AS97">
        <f>IF(AND(IFERROR(VLOOKUP(AJ97,Equip!$A:$N,13,FALSE),0)&gt;=5,IFERROR(VLOOKUP(AJ97,Equip!$A:$N,13,FALSE),0)&lt;=9),INT(VLOOKUP(AJ97,Equip!$A:$N,6,FALSE)*SQRT(AN97)),0)</f>
        <v>0</v>
      </c>
      <c r="AT97">
        <f>IF(AND(IFERROR(VLOOKUP(AK97,Equip!$A:$N,13,FALSE),0)&gt;=5,IFERROR(VLOOKUP(AK97,Equip!$A:$N,13,FALSE),0)&lt;=9),INT(VLOOKUP(AK97,Equip!$A:$N,6,FALSE)*SQRT(AO97)),0)</f>
        <v>0</v>
      </c>
      <c r="AU97">
        <f>IF(AND(IFERROR(VLOOKUP(AL97,Equip!$A:$N,13,FALSE),0)&gt;=5,IFERROR(VLOOKUP(AL97,Equip!$A:$N,13,FALSE),0)&lt;=9),INT(VLOOKUP(AL97,Equip!$A:$N,6,FALSE)*SQRT(AP97)),0)</f>
        <v>0</v>
      </c>
      <c r="AV97">
        <f>IF(AND(IFERROR(VLOOKUP(AM97,Equip!$A:$N,13,FALSE),0)&gt;=5,IFERROR(VLOOKUP(AM97,Equip!$A:$N,13,FALSE),0)&lt;=9),INT(VLOOKUP(AM97,Equip!$A:$N,6,FALSE)*SQRT(AQ97)),0)</f>
        <v>0</v>
      </c>
      <c r="AW97">
        <f t="shared" si="147"/>
        <v>0</v>
      </c>
      <c r="AX97">
        <f t="shared" si="148"/>
        <v>428</v>
      </c>
    </row>
    <row r="98" spans="1:50">
      <c r="A98">
        <v>39</v>
      </c>
      <c r="B98" t="s">
        <v>773</v>
      </c>
      <c r="C98" t="s">
        <v>773</v>
      </c>
      <c r="D98">
        <v>1</v>
      </c>
      <c r="E98">
        <f>E97</f>
        <v>1600</v>
      </c>
      <c r="F98">
        <f t="shared" ref="F98" si="251">F97</f>
        <v>900</v>
      </c>
      <c r="G98">
        <f t="shared" ref="G98" si="252">G97</f>
        <v>39</v>
      </c>
      <c r="H98">
        <f t="shared" ref="H98" si="253">H97</f>
        <v>1</v>
      </c>
      <c r="I98">
        <f t="shared" ref="I98" si="254">I97</f>
        <v>1</v>
      </c>
      <c r="J98">
        <f t="shared" ref="J98" si="255">J97</f>
        <v>3</v>
      </c>
      <c r="K98">
        <v>2</v>
      </c>
      <c r="L98">
        <v>2</v>
      </c>
      <c r="M98">
        <v>42</v>
      </c>
      <c r="N98">
        <v>42</v>
      </c>
      <c r="O98">
        <v>28</v>
      </c>
      <c r="P98">
        <v>33</v>
      </c>
      <c r="Q98">
        <v>30</v>
      </c>
      <c r="R98">
        <v>47</v>
      </c>
      <c r="S98">
        <v>20</v>
      </c>
      <c r="T98">
        <v>35</v>
      </c>
      <c r="U98">
        <f t="shared" ref="U98" si="256">U97</f>
        <v>10</v>
      </c>
      <c r="V98">
        <v>17</v>
      </c>
      <c r="W98">
        <f t="shared" ref="W98" si="257">W97</f>
        <v>2</v>
      </c>
      <c r="X98">
        <v>12</v>
      </c>
      <c r="Y98">
        <f t="shared" ref="Y98" si="258">Y97</f>
        <v>0</v>
      </c>
      <c r="Z98">
        <v>25</v>
      </c>
      <c r="AA98">
        <v>30</v>
      </c>
      <c r="AB98">
        <v>69</v>
      </c>
      <c r="AC98">
        <v>89</v>
      </c>
      <c r="AD98">
        <v>69</v>
      </c>
      <c r="AE98">
        <v>69</v>
      </c>
      <c r="AF98">
        <v>59</v>
      </c>
      <c r="AG98">
        <v>79</v>
      </c>
      <c r="AH98">
        <v>79</v>
      </c>
      <c r="AI98">
        <v>49</v>
      </c>
      <c r="AJ98">
        <v>4</v>
      </c>
      <c r="AK98">
        <v>15</v>
      </c>
      <c r="AL98">
        <v>25</v>
      </c>
      <c r="AM98">
        <v>-1</v>
      </c>
      <c r="AN98">
        <v>1</v>
      </c>
      <c r="AO98">
        <v>1</v>
      </c>
      <c r="AP98">
        <v>1</v>
      </c>
      <c r="AQ98">
        <v>0</v>
      </c>
      <c r="AR98">
        <f t="shared" si="158"/>
        <v>3</v>
      </c>
      <c r="AS98">
        <f>IF(AND(IFERROR(VLOOKUP(AJ98,Equip!$A:$N,13,FALSE),0)&gt;=5,IFERROR(VLOOKUP(AJ98,Equip!$A:$N,13,FALSE),0)&lt;=9),INT(VLOOKUP(AJ98,Equip!$A:$N,6,FALSE)*SQRT(AN98)),0)</f>
        <v>0</v>
      </c>
      <c r="AT98">
        <f>IF(AND(IFERROR(VLOOKUP(AK98,Equip!$A:$N,13,FALSE),0)&gt;=5,IFERROR(VLOOKUP(AK98,Equip!$A:$N,13,FALSE),0)&lt;=9),INT(VLOOKUP(AK98,Equip!$A:$N,6,FALSE)*SQRT(AO98)),0)</f>
        <v>0</v>
      </c>
      <c r="AU98">
        <f>IF(AND(IFERROR(VLOOKUP(AL98,Equip!$A:$N,13,FALSE),0)&gt;=5,IFERROR(VLOOKUP(AL98,Equip!$A:$N,13,FALSE),0)&lt;=9),INT(VLOOKUP(AL98,Equip!$A:$N,6,FALSE)*SQRT(AP98)),0)</f>
        <v>0</v>
      </c>
      <c r="AV98">
        <f>IF(AND(IFERROR(VLOOKUP(AM98,Equip!$A:$N,13,FALSE),0)&gt;=5,IFERROR(VLOOKUP(AM98,Equip!$A:$N,13,FALSE),0)&lt;=9),INT(VLOOKUP(AM98,Equip!$A:$N,6,FALSE)*SQRT(AQ98)),0)</f>
        <v>0</v>
      </c>
      <c r="AW98">
        <f t="shared" si="147"/>
        <v>0</v>
      </c>
      <c r="AX98">
        <f t="shared" si="148"/>
        <v>545</v>
      </c>
    </row>
    <row r="99" spans="1:50">
      <c r="A99">
        <v>40</v>
      </c>
      <c r="B99" t="s">
        <v>774</v>
      </c>
      <c r="C99" t="s">
        <v>774</v>
      </c>
      <c r="D99">
        <v>0</v>
      </c>
      <c r="E99">
        <v>1600</v>
      </c>
      <c r="F99">
        <v>900</v>
      </c>
      <c r="G99">
        <v>40</v>
      </c>
      <c r="H99">
        <v>1</v>
      </c>
      <c r="I99">
        <v>1</v>
      </c>
      <c r="J99">
        <v>3</v>
      </c>
      <c r="K99">
        <v>2</v>
      </c>
      <c r="L99">
        <v>2</v>
      </c>
      <c r="M99">
        <v>25</v>
      </c>
      <c r="N99">
        <v>25</v>
      </c>
      <c r="O99">
        <v>14</v>
      </c>
      <c r="P99">
        <v>10</v>
      </c>
      <c r="Q99">
        <v>24</v>
      </c>
      <c r="R99">
        <v>36</v>
      </c>
      <c r="S99">
        <v>13</v>
      </c>
      <c r="T99">
        <v>19</v>
      </c>
      <c r="U99">
        <v>10</v>
      </c>
      <c r="V99">
        <v>8</v>
      </c>
      <c r="W99">
        <v>2</v>
      </c>
      <c r="X99">
        <v>10</v>
      </c>
      <c r="Y99">
        <v>0</v>
      </c>
      <c r="Z99">
        <v>25</v>
      </c>
      <c r="AA99">
        <v>25</v>
      </c>
      <c r="AB99">
        <v>39</v>
      </c>
      <c r="AC99">
        <v>79</v>
      </c>
      <c r="AD99">
        <v>49</v>
      </c>
      <c r="AE99">
        <v>29</v>
      </c>
      <c r="AF99">
        <v>49</v>
      </c>
      <c r="AG99">
        <v>69</v>
      </c>
      <c r="AH99">
        <v>59</v>
      </c>
      <c r="AI99">
        <v>39</v>
      </c>
      <c r="AJ99">
        <v>4</v>
      </c>
      <c r="AK99">
        <v>0</v>
      </c>
      <c r="AL99">
        <v>-1</v>
      </c>
      <c r="AM99">
        <v>-1</v>
      </c>
      <c r="AN99">
        <v>1</v>
      </c>
      <c r="AO99">
        <v>1</v>
      </c>
      <c r="AP99">
        <v>0</v>
      </c>
      <c r="AQ99">
        <v>0</v>
      </c>
      <c r="AR99">
        <f t="shared" si="158"/>
        <v>2</v>
      </c>
      <c r="AS99">
        <f>IF(AND(IFERROR(VLOOKUP(AJ99,Equip!$A:$N,13,FALSE),0)&gt;=5,IFERROR(VLOOKUP(AJ99,Equip!$A:$N,13,FALSE),0)&lt;=9),INT(VLOOKUP(AJ99,Equip!$A:$N,6,FALSE)*SQRT(AN99)),0)</f>
        <v>0</v>
      </c>
      <c r="AT99">
        <f>IF(AND(IFERROR(VLOOKUP(AK99,Equip!$A:$N,13,FALSE),0)&gt;=5,IFERROR(VLOOKUP(AK99,Equip!$A:$N,13,FALSE),0)&lt;=9),INT(VLOOKUP(AK99,Equip!$A:$N,6,FALSE)*SQRT(AO99)),0)</f>
        <v>0</v>
      </c>
      <c r="AU99">
        <f>IF(AND(IFERROR(VLOOKUP(AL99,Equip!$A:$N,13,FALSE),0)&gt;=5,IFERROR(VLOOKUP(AL99,Equip!$A:$N,13,FALSE),0)&lt;=9),INT(VLOOKUP(AL99,Equip!$A:$N,6,FALSE)*SQRT(AP99)),0)</f>
        <v>0</v>
      </c>
      <c r="AV99">
        <f>IF(AND(IFERROR(VLOOKUP(AM99,Equip!$A:$N,13,FALSE),0)&gt;=5,IFERROR(VLOOKUP(AM99,Equip!$A:$N,13,FALSE),0)&lt;=9),INT(VLOOKUP(AM99,Equip!$A:$N,6,FALSE)*SQRT(AQ99)),0)</f>
        <v>0</v>
      </c>
      <c r="AW99">
        <f t="shared" si="147"/>
        <v>0</v>
      </c>
      <c r="AX99">
        <f t="shared" si="148"/>
        <v>388</v>
      </c>
    </row>
    <row r="100" spans="1:50">
      <c r="A100">
        <v>40</v>
      </c>
      <c r="B100" t="s">
        <v>774</v>
      </c>
      <c r="C100" t="s">
        <v>774</v>
      </c>
      <c r="D100">
        <v>1</v>
      </c>
      <c r="E100">
        <f>E99</f>
        <v>1600</v>
      </c>
      <c r="F100">
        <f t="shared" ref="F100" si="259">F99</f>
        <v>900</v>
      </c>
      <c r="G100">
        <f t="shared" ref="G100" si="260">G99</f>
        <v>40</v>
      </c>
      <c r="H100">
        <f t="shared" ref="H100" si="261">H99</f>
        <v>1</v>
      </c>
      <c r="I100">
        <f t="shared" ref="I100" si="262">I99</f>
        <v>1</v>
      </c>
      <c r="J100">
        <f t="shared" ref="J100" si="263">J99</f>
        <v>3</v>
      </c>
      <c r="K100">
        <v>2</v>
      </c>
      <c r="L100">
        <v>2</v>
      </c>
      <c r="M100">
        <v>42</v>
      </c>
      <c r="N100">
        <v>42</v>
      </c>
      <c r="O100">
        <v>27</v>
      </c>
      <c r="P100">
        <v>32</v>
      </c>
      <c r="Q100">
        <v>33</v>
      </c>
      <c r="R100">
        <v>47</v>
      </c>
      <c r="S100">
        <v>23</v>
      </c>
      <c r="T100">
        <v>35</v>
      </c>
      <c r="U100">
        <f t="shared" ref="U100" si="264">U99</f>
        <v>10</v>
      </c>
      <c r="V100">
        <v>17</v>
      </c>
      <c r="W100">
        <f t="shared" ref="W100" si="265">W99</f>
        <v>2</v>
      </c>
      <c r="X100">
        <v>12</v>
      </c>
      <c r="Y100">
        <f t="shared" ref="Y100" si="266">Y99</f>
        <v>0</v>
      </c>
      <c r="Z100">
        <v>25</v>
      </c>
      <c r="AA100">
        <v>30</v>
      </c>
      <c r="AB100">
        <v>59</v>
      </c>
      <c r="AC100">
        <v>79</v>
      </c>
      <c r="AD100">
        <v>59</v>
      </c>
      <c r="AE100">
        <v>59</v>
      </c>
      <c r="AF100">
        <v>59</v>
      </c>
      <c r="AG100">
        <v>79</v>
      </c>
      <c r="AH100">
        <v>79</v>
      </c>
      <c r="AI100">
        <v>49</v>
      </c>
      <c r="AJ100">
        <v>4</v>
      </c>
      <c r="AK100">
        <v>15</v>
      </c>
      <c r="AL100">
        <v>25</v>
      </c>
      <c r="AM100">
        <v>-1</v>
      </c>
      <c r="AN100">
        <v>1</v>
      </c>
      <c r="AO100">
        <v>1</v>
      </c>
      <c r="AP100">
        <v>1</v>
      </c>
      <c r="AQ100">
        <v>0</v>
      </c>
      <c r="AR100">
        <f t="shared" si="158"/>
        <v>3</v>
      </c>
      <c r="AS100">
        <f>IF(AND(IFERROR(VLOOKUP(AJ100,Equip!$A:$N,13,FALSE),0)&gt;=5,IFERROR(VLOOKUP(AJ100,Equip!$A:$N,13,FALSE),0)&lt;=9),INT(VLOOKUP(AJ100,Equip!$A:$N,6,FALSE)*SQRT(AN100)),0)</f>
        <v>0</v>
      </c>
      <c r="AT100">
        <f>IF(AND(IFERROR(VLOOKUP(AK100,Equip!$A:$N,13,FALSE),0)&gt;=5,IFERROR(VLOOKUP(AK100,Equip!$A:$N,13,FALSE),0)&lt;=9),INT(VLOOKUP(AK100,Equip!$A:$N,6,FALSE)*SQRT(AO100)),0)</f>
        <v>0</v>
      </c>
      <c r="AU100">
        <f>IF(AND(IFERROR(VLOOKUP(AL100,Equip!$A:$N,13,FALSE),0)&gt;=5,IFERROR(VLOOKUP(AL100,Equip!$A:$N,13,FALSE),0)&lt;=9),INT(VLOOKUP(AL100,Equip!$A:$N,6,FALSE)*SQRT(AP100)),0)</f>
        <v>0</v>
      </c>
      <c r="AV100">
        <f>IF(AND(IFERROR(VLOOKUP(AM100,Equip!$A:$N,13,FALSE),0)&gt;=5,IFERROR(VLOOKUP(AM100,Equip!$A:$N,13,FALSE),0)&lt;=9),INT(VLOOKUP(AM100,Equip!$A:$N,6,FALSE)*SQRT(AQ100)),0)</f>
        <v>0</v>
      </c>
      <c r="AW100">
        <f t="shared" si="147"/>
        <v>0</v>
      </c>
      <c r="AX100">
        <f t="shared" si="148"/>
        <v>505</v>
      </c>
    </row>
    <row r="101" spans="1:50">
      <c r="A101">
        <v>41</v>
      </c>
      <c r="B101" t="s">
        <v>775</v>
      </c>
      <c r="C101" t="s">
        <v>775</v>
      </c>
      <c r="D101">
        <v>0</v>
      </c>
      <c r="E101">
        <v>1600</v>
      </c>
      <c r="F101">
        <v>900</v>
      </c>
      <c r="G101">
        <v>41</v>
      </c>
      <c r="H101">
        <v>1</v>
      </c>
      <c r="I101">
        <v>1</v>
      </c>
      <c r="J101">
        <v>4</v>
      </c>
      <c r="K101">
        <v>2</v>
      </c>
      <c r="L101">
        <v>2</v>
      </c>
      <c r="M101">
        <v>25</v>
      </c>
      <c r="N101">
        <v>25</v>
      </c>
      <c r="O101">
        <v>14</v>
      </c>
      <c r="P101">
        <v>10</v>
      </c>
      <c r="Q101">
        <v>24</v>
      </c>
      <c r="R101">
        <v>36</v>
      </c>
      <c r="S101">
        <v>13</v>
      </c>
      <c r="T101">
        <v>19</v>
      </c>
      <c r="U101">
        <v>10</v>
      </c>
      <c r="V101">
        <v>8</v>
      </c>
      <c r="W101">
        <v>2</v>
      </c>
      <c r="X101">
        <v>10</v>
      </c>
      <c r="Y101">
        <v>0</v>
      </c>
      <c r="Z101">
        <v>25</v>
      </c>
      <c r="AA101">
        <v>25</v>
      </c>
      <c r="AB101">
        <v>39</v>
      </c>
      <c r="AC101">
        <v>79</v>
      </c>
      <c r="AD101">
        <v>49</v>
      </c>
      <c r="AE101">
        <v>29</v>
      </c>
      <c r="AF101">
        <v>49</v>
      </c>
      <c r="AG101">
        <v>69</v>
      </c>
      <c r="AH101">
        <v>59</v>
      </c>
      <c r="AI101">
        <v>39</v>
      </c>
      <c r="AJ101">
        <v>4</v>
      </c>
      <c r="AK101">
        <v>0</v>
      </c>
      <c r="AL101">
        <v>-1</v>
      </c>
      <c r="AM101">
        <v>-1</v>
      </c>
      <c r="AN101">
        <v>1</v>
      </c>
      <c r="AO101">
        <v>1</v>
      </c>
      <c r="AP101">
        <v>0</v>
      </c>
      <c r="AQ101">
        <v>0</v>
      </c>
      <c r="AR101">
        <f t="shared" si="158"/>
        <v>2</v>
      </c>
      <c r="AS101">
        <f>IF(AND(IFERROR(VLOOKUP(AJ101,Equip!$A:$N,13,FALSE),0)&gt;=5,IFERROR(VLOOKUP(AJ101,Equip!$A:$N,13,FALSE),0)&lt;=9),INT(VLOOKUP(AJ101,Equip!$A:$N,6,FALSE)*SQRT(AN101)),0)</f>
        <v>0</v>
      </c>
      <c r="AT101">
        <f>IF(AND(IFERROR(VLOOKUP(AK101,Equip!$A:$N,13,FALSE),0)&gt;=5,IFERROR(VLOOKUP(AK101,Equip!$A:$N,13,FALSE),0)&lt;=9),INT(VLOOKUP(AK101,Equip!$A:$N,6,FALSE)*SQRT(AO101)),0)</f>
        <v>0</v>
      </c>
      <c r="AU101">
        <f>IF(AND(IFERROR(VLOOKUP(AL101,Equip!$A:$N,13,FALSE),0)&gt;=5,IFERROR(VLOOKUP(AL101,Equip!$A:$N,13,FALSE),0)&lt;=9),INT(VLOOKUP(AL101,Equip!$A:$N,6,FALSE)*SQRT(AP101)),0)</f>
        <v>0</v>
      </c>
      <c r="AV101">
        <f>IF(AND(IFERROR(VLOOKUP(AM101,Equip!$A:$N,13,FALSE),0)&gt;=5,IFERROR(VLOOKUP(AM101,Equip!$A:$N,13,FALSE),0)&lt;=9),INT(VLOOKUP(AM101,Equip!$A:$N,6,FALSE)*SQRT(AQ101)),0)</f>
        <v>0</v>
      </c>
      <c r="AW101">
        <f t="shared" si="147"/>
        <v>0</v>
      </c>
      <c r="AX101">
        <f t="shared" si="148"/>
        <v>388</v>
      </c>
    </row>
    <row r="102" spans="1:50">
      <c r="A102">
        <v>41</v>
      </c>
      <c r="B102" t="s">
        <v>775</v>
      </c>
      <c r="C102" t="s">
        <v>775</v>
      </c>
      <c r="D102">
        <v>1</v>
      </c>
      <c r="E102">
        <f t="shared" ref="E102:E103" si="267">E101</f>
        <v>1600</v>
      </c>
      <c r="F102">
        <f t="shared" ref="F102:F103" si="268">F101</f>
        <v>900</v>
      </c>
      <c r="G102">
        <f t="shared" ref="G102:G103" si="269">G101</f>
        <v>41</v>
      </c>
      <c r="H102">
        <f t="shared" ref="H102:H103" si="270">H101</f>
        <v>1</v>
      </c>
      <c r="I102">
        <f t="shared" ref="I102:I103" si="271">I101</f>
        <v>1</v>
      </c>
      <c r="J102">
        <f t="shared" ref="J102:J103" si="272">J101</f>
        <v>4</v>
      </c>
      <c r="K102">
        <v>2</v>
      </c>
      <c r="L102">
        <v>2</v>
      </c>
      <c r="M102">
        <v>42</v>
      </c>
      <c r="N102">
        <v>42</v>
      </c>
      <c r="O102">
        <v>24</v>
      </c>
      <c r="P102">
        <v>32</v>
      </c>
      <c r="Q102">
        <v>33</v>
      </c>
      <c r="R102">
        <v>47</v>
      </c>
      <c r="S102">
        <v>19</v>
      </c>
      <c r="T102">
        <v>35</v>
      </c>
      <c r="U102">
        <f t="shared" ref="U102:U103" si="273">U101</f>
        <v>10</v>
      </c>
      <c r="V102">
        <v>17</v>
      </c>
      <c r="W102">
        <f t="shared" ref="W102:W103" si="274">W101</f>
        <v>2</v>
      </c>
      <c r="X102">
        <v>12</v>
      </c>
      <c r="Y102">
        <f t="shared" ref="Y102:Y103" si="275">Y101</f>
        <v>0</v>
      </c>
      <c r="Z102">
        <v>25</v>
      </c>
      <c r="AA102">
        <v>30</v>
      </c>
      <c r="AB102">
        <v>59</v>
      </c>
      <c r="AC102">
        <v>79</v>
      </c>
      <c r="AD102">
        <v>59</v>
      </c>
      <c r="AE102">
        <v>59</v>
      </c>
      <c r="AF102">
        <v>59</v>
      </c>
      <c r="AG102">
        <v>79</v>
      </c>
      <c r="AH102">
        <v>79</v>
      </c>
      <c r="AI102">
        <v>49</v>
      </c>
      <c r="AJ102">
        <v>4</v>
      </c>
      <c r="AK102">
        <v>15</v>
      </c>
      <c r="AL102">
        <v>25</v>
      </c>
      <c r="AM102">
        <v>-1</v>
      </c>
      <c r="AN102">
        <v>1</v>
      </c>
      <c r="AO102">
        <v>1</v>
      </c>
      <c r="AP102">
        <v>1</v>
      </c>
      <c r="AQ102">
        <v>0</v>
      </c>
      <c r="AR102">
        <f t="shared" si="158"/>
        <v>3</v>
      </c>
      <c r="AS102">
        <f>IF(AND(IFERROR(VLOOKUP(AJ102,Equip!$A:$N,13,FALSE),0)&gt;=5,IFERROR(VLOOKUP(AJ102,Equip!$A:$N,13,FALSE),0)&lt;=9),INT(VLOOKUP(AJ102,Equip!$A:$N,6,FALSE)*SQRT(AN102)),0)</f>
        <v>0</v>
      </c>
      <c r="AT102">
        <f>IF(AND(IFERROR(VLOOKUP(AK102,Equip!$A:$N,13,FALSE),0)&gt;=5,IFERROR(VLOOKUP(AK102,Equip!$A:$N,13,FALSE),0)&lt;=9),INT(VLOOKUP(AK102,Equip!$A:$N,6,FALSE)*SQRT(AO102)),0)</f>
        <v>0</v>
      </c>
      <c r="AU102">
        <f>IF(AND(IFERROR(VLOOKUP(AL102,Equip!$A:$N,13,FALSE),0)&gt;=5,IFERROR(VLOOKUP(AL102,Equip!$A:$N,13,FALSE),0)&lt;=9),INT(VLOOKUP(AL102,Equip!$A:$N,6,FALSE)*SQRT(AP102)),0)</f>
        <v>0</v>
      </c>
      <c r="AV102">
        <f>IF(AND(IFERROR(VLOOKUP(AM102,Equip!$A:$N,13,FALSE),0)&gt;=5,IFERROR(VLOOKUP(AM102,Equip!$A:$N,13,FALSE),0)&lt;=9),INT(VLOOKUP(AM102,Equip!$A:$N,6,FALSE)*SQRT(AQ102)),0)</f>
        <v>0</v>
      </c>
      <c r="AW102">
        <f t="shared" si="147"/>
        <v>0</v>
      </c>
      <c r="AX102">
        <f t="shared" si="148"/>
        <v>505</v>
      </c>
    </row>
    <row r="103" spans="1:50">
      <c r="A103">
        <v>41</v>
      </c>
      <c r="B103" t="s">
        <v>775</v>
      </c>
      <c r="C103" t="s">
        <v>775</v>
      </c>
      <c r="D103">
        <v>2</v>
      </c>
      <c r="E103">
        <f t="shared" si="267"/>
        <v>1600</v>
      </c>
      <c r="F103">
        <f t="shared" si="268"/>
        <v>900</v>
      </c>
      <c r="G103">
        <f t="shared" si="269"/>
        <v>41</v>
      </c>
      <c r="H103">
        <f t="shared" si="270"/>
        <v>1</v>
      </c>
      <c r="I103">
        <f t="shared" si="271"/>
        <v>1</v>
      </c>
      <c r="J103">
        <f t="shared" si="272"/>
        <v>4</v>
      </c>
      <c r="K103">
        <v>4</v>
      </c>
      <c r="L103">
        <v>2</v>
      </c>
      <c r="M103">
        <v>44</v>
      </c>
      <c r="N103">
        <v>44</v>
      </c>
      <c r="O103">
        <v>43</v>
      </c>
      <c r="P103">
        <v>46</v>
      </c>
      <c r="Q103">
        <v>96</v>
      </c>
      <c r="R103">
        <v>70</v>
      </c>
      <c r="S103">
        <v>37</v>
      </c>
      <c r="T103">
        <v>64</v>
      </c>
      <c r="U103">
        <f t="shared" si="273"/>
        <v>10</v>
      </c>
      <c r="V103">
        <v>39</v>
      </c>
      <c r="W103">
        <f t="shared" si="274"/>
        <v>2</v>
      </c>
      <c r="X103">
        <v>13</v>
      </c>
      <c r="Y103">
        <f t="shared" si="275"/>
        <v>0</v>
      </c>
      <c r="Z103">
        <v>25</v>
      </c>
      <c r="AA103">
        <v>30</v>
      </c>
      <c r="AB103">
        <v>64</v>
      </c>
      <c r="AC103">
        <v>110</v>
      </c>
      <c r="AD103">
        <v>72</v>
      </c>
      <c r="AE103">
        <v>65</v>
      </c>
      <c r="AF103">
        <v>69</v>
      </c>
      <c r="AG103">
        <v>84</v>
      </c>
      <c r="AH103">
        <v>82</v>
      </c>
      <c r="AI103">
        <v>49</v>
      </c>
      <c r="AJ103">
        <v>58</v>
      </c>
      <c r="AK103">
        <v>27</v>
      </c>
      <c r="AL103">
        <v>40</v>
      </c>
      <c r="AM103">
        <v>-1</v>
      </c>
      <c r="AN103">
        <v>0</v>
      </c>
      <c r="AO103">
        <v>0</v>
      </c>
      <c r="AP103">
        <v>0</v>
      </c>
      <c r="AQ103">
        <v>0</v>
      </c>
      <c r="AR103">
        <f t="shared" si="158"/>
        <v>0</v>
      </c>
      <c r="AS103">
        <f>IF(AND(IFERROR(VLOOKUP(AJ103,Equip!$A:$N,13,FALSE),0)&gt;=5,IFERROR(VLOOKUP(AJ103,Equip!$A:$N,13,FALSE),0)&lt;=9),INT(VLOOKUP(AJ103,Equip!$A:$N,6,FALSE)*SQRT(AN103)),0)</f>
        <v>0</v>
      </c>
      <c r="AT103">
        <f>IF(AND(IFERROR(VLOOKUP(AK103,Equip!$A:$N,13,FALSE),0)&gt;=5,IFERROR(VLOOKUP(AK103,Equip!$A:$N,13,FALSE),0)&lt;=9),INT(VLOOKUP(AK103,Equip!$A:$N,6,FALSE)*SQRT(AO103)),0)</f>
        <v>0</v>
      </c>
      <c r="AU103">
        <f>IF(AND(IFERROR(VLOOKUP(AL103,Equip!$A:$N,13,FALSE),0)&gt;=5,IFERROR(VLOOKUP(AL103,Equip!$A:$N,13,FALSE),0)&lt;=9),INT(VLOOKUP(AL103,Equip!$A:$N,6,FALSE)*SQRT(AP103)),0)</f>
        <v>0</v>
      </c>
      <c r="AV103">
        <f>IF(AND(IFERROR(VLOOKUP(AM103,Equip!$A:$N,13,FALSE),0)&gt;=5,IFERROR(VLOOKUP(AM103,Equip!$A:$N,13,FALSE),0)&lt;=9),INT(VLOOKUP(AM103,Equip!$A:$N,6,FALSE)*SQRT(AQ103)),0)</f>
        <v>0</v>
      </c>
      <c r="AW103">
        <f t="shared" si="147"/>
        <v>0</v>
      </c>
      <c r="AX103">
        <f t="shared" si="148"/>
        <v>570</v>
      </c>
    </row>
    <row r="104" spans="1:50">
      <c r="A104">
        <v>42</v>
      </c>
      <c r="B104" t="s">
        <v>776</v>
      </c>
      <c r="C104" t="s">
        <v>776</v>
      </c>
      <c r="D104">
        <v>0</v>
      </c>
      <c r="E104">
        <v>1627</v>
      </c>
      <c r="F104">
        <v>913</v>
      </c>
      <c r="G104">
        <v>42</v>
      </c>
      <c r="H104">
        <v>1</v>
      </c>
      <c r="I104">
        <v>1</v>
      </c>
      <c r="J104">
        <v>3</v>
      </c>
      <c r="K104">
        <v>2</v>
      </c>
      <c r="L104">
        <v>2</v>
      </c>
      <c r="M104">
        <v>26</v>
      </c>
      <c r="N104">
        <v>26</v>
      </c>
      <c r="O104">
        <v>14</v>
      </c>
      <c r="P104">
        <v>10</v>
      </c>
      <c r="Q104">
        <v>24</v>
      </c>
      <c r="R104">
        <v>37</v>
      </c>
      <c r="S104">
        <v>13</v>
      </c>
      <c r="T104">
        <v>20</v>
      </c>
      <c r="U104">
        <v>10</v>
      </c>
      <c r="V104">
        <v>8</v>
      </c>
      <c r="W104">
        <v>2</v>
      </c>
      <c r="X104">
        <v>12</v>
      </c>
      <c r="Y104">
        <v>0</v>
      </c>
      <c r="Z104">
        <v>25</v>
      </c>
      <c r="AA104">
        <v>25</v>
      </c>
      <c r="AB104">
        <v>49</v>
      </c>
      <c r="AC104">
        <v>89</v>
      </c>
      <c r="AD104">
        <v>59</v>
      </c>
      <c r="AE104">
        <v>29</v>
      </c>
      <c r="AF104">
        <v>49</v>
      </c>
      <c r="AG104">
        <v>79</v>
      </c>
      <c r="AH104">
        <v>59</v>
      </c>
      <c r="AI104">
        <v>39</v>
      </c>
      <c r="AJ104">
        <v>4</v>
      </c>
      <c r="AK104">
        <v>14</v>
      </c>
      <c r="AL104">
        <v>-1</v>
      </c>
      <c r="AM104">
        <v>-1</v>
      </c>
      <c r="AN104">
        <v>1</v>
      </c>
      <c r="AO104">
        <v>1</v>
      </c>
      <c r="AP104">
        <v>0</v>
      </c>
      <c r="AQ104">
        <v>0</v>
      </c>
      <c r="AR104">
        <f t="shared" si="158"/>
        <v>2</v>
      </c>
      <c r="AS104">
        <f>IF(AND(IFERROR(VLOOKUP(AJ104,Equip!$A:$N,13,FALSE),0)&gt;=5,IFERROR(VLOOKUP(AJ104,Equip!$A:$N,13,FALSE),0)&lt;=9),INT(VLOOKUP(AJ104,Equip!$A:$N,6,FALSE)*SQRT(AN104)),0)</f>
        <v>0</v>
      </c>
      <c r="AT104">
        <f>IF(AND(IFERROR(VLOOKUP(AK104,Equip!$A:$N,13,FALSE),0)&gt;=5,IFERROR(VLOOKUP(AK104,Equip!$A:$N,13,FALSE),0)&lt;=9),INT(VLOOKUP(AK104,Equip!$A:$N,6,FALSE)*SQRT(AO104)),0)</f>
        <v>0</v>
      </c>
      <c r="AU104">
        <f>IF(AND(IFERROR(VLOOKUP(AL104,Equip!$A:$N,13,FALSE),0)&gt;=5,IFERROR(VLOOKUP(AL104,Equip!$A:$N,13,FALSE),0)&lt;=9),INT(VLOOKUP(AL104,Equip!$A:$N,6,FALSE)*SQRT(AP104)),0)</f>
        <v>0</v>
      </c>
      <c r="AV104">
        <f>IF(AND(IFERROR(VLOOKUP(AM104,Equip!$A:$N,13,FALSE),0)&gt;=5,IFERROR(VLOOKUP(AM104,Equip!$A:$N,13,FALSE),0)&lt;=9),INT(VLOOKUP(AM104,Equip!$A:$N,6,FALSE)*SQRT(AQ104)),0)</f>
        <v>0</v>
      </c>
      <c r="AW104">
        <f t="shared" si="147"/>
        <v>0</v>
      </c>
      <c r="AX104">
        <f t="shared" si="148"/>
        <v>429</v>
      </c>
    </row>
    <row r="105" spans="1:50">
      <c r="A105">
        <v>42</v>
      </c>
      <c r="B105" t="s">
        <v>776</v>
      </c>
      <c r="C105" t="s">
        <v>776</v>
      </c>
      <c r="D105">
        <v>1</v>
      </c>
      <c r="E105">
        <f>E104</f>
        <v>1627</v>
      </c>
      <c r="F105">
        <f t="shared" ref="F105" si="276">F104</f>
        <v>913</v>
      </c>
      <c r="G105">
        <f t="shared" ref="G105" si="277">G104</f>
        <v>42</v>
      </c>
      <c r="H105">
        <f t="shared" ref="H105" si="278">H104</f>
        <v>1</v>
      </c>
      <c r="I105">
        <f t="shared" ref="I105" si="279">I104</f>
        <v>1</v>
      </c>
      <c r="J105">
        <f t="shared" ref="J105" si="280">J104</f>
        <v>3</v>
      </c>
      <c r="K105">
        <v>2</v>
      </c>
      <c r="L105">
        <v>2</v>
      </c>
      <c r="M105">
        <v>43</v>
      </c>
      <c r="N105">
        <v>43</v>
      </c>
      <c r="O105">
        <v>24</v>
      </c>
      <c r="P105">
        <v>33</v>
      </c>
      <c r="Q105">
        <v>35</v>
      </c>
      <c r="R105">
        <v>47</v>
      </c>
      <c r="S105">
        <v>20</v>
      </c>
      <c r="T105">
        <v>35</v>
      </c>
      <c r="U105">
        <f t="shared" ref="U105" si="281">U104</f>
        <v>10</v>
      </c>
      <c r="V105">
        <v>17</v>
      </c>
      <c r="W105">
        <f t="shared" ref="W105" si="282">W104</f>
        <v>2</v>
      </c>
      <c r="X105">
        <v>12</v>
      </c>
      <c r="Y105">
        <f t="shared" ref="Y105" si="283">Y104</f>
        <v>0</v>
      </c>
      <c r="Z105">
        <v>25</v>
      </c>
      <c r="AA105">
        <v>30</v>
      </c>
      <c r="AB105">
        <v>69</v>
      </c>
      <c r="AC105">
        <v>89</v>
      </c>
      <c r="AD105">
        <v>69</v>
      </c>
      <c r="AE105">
        <v>69</v>
      </c>
      <c r="AF105">
        <v>59</v>
      </c>
      <c r="AG105">
        <v>79</v>
      </c>
      <c r="AH105">
        <v>79</v>
      </c>
      <c r="AI105">
        <v>49</v>
      </c>
      <c r="AJ105">
        <v>4</v>
      </c>
      <c r="AK105">
        <v>15</v>
      </c>
      <c r="AL105">
        <v>25</v>
      </c>
      <c r="AM105">
        <v>-1</v>
      </c>
      <c r="AN105">
        <v>1</v>
      </c>
      <c r="AO105">
        <v>1</v>
      </c>
      <c r="AP105">
        <v>1</v>
      </c>
      <c r="AQ105">
        <v>0</v>
      </c>
      <c r="AR105">
        <f t="shared" si="158"/>
        <v>3</v>
      </c>
      <c r="AS105">
        <f>IF(AND(IFERROR(VLOOKUP(AJ105,Equip!$A:$N,13,FALSE),0)&gt;=5,IFERROR(VLOOKUP(AJ105,Equip!$A:$N,13,FALSE),0)&lt;=9),INT(VLOOKUP(AJ105,Equip!$A:$N,6,FALSE)*SQRT(AN105)),0)</f>
        <v>0</v>
      </c>
      <c r="AT105">
        <f>IF(AND(IFERROR(VLOOKUP(AK105,Equip!$A:$N,13,FALSE),0)&gt;=5,IFERROR(VLOOKUP(AK105,Equip!$A:$N,13,FALSE),0)&lt;=9),INT(VLOOKUP(AK105,Equip!$A:$N,6,FALSE)*SQRT(AO105)),0)</f>
        <v>0</v>
      </c>
      <c r="AU105">
        <f>IF(AND(IFERROR(VLOOKUP(AL105,Equip!$A:$N,13,FALSE),0)&gt;=5,IFERROR(VLOOKUP(AL105,Equip!$A:$N,13,FALSE),0)&lt;=9),INT(VLOOKUP(AL105,Equip!$A:$N,6,FALSE)*SQRT(AP105)),0)</f>
        <v>0</v>
      </c>
      <c r="AV105">
        <f>IF(AND(IFERROR(VLOOKUP(AM105,Equip!$A:$N,13,FALSE),0)&gt;=5,IFERROR(VLOOKUP(AM105,Equip!$A:$N,13,FALSE),0)&lt;=9),INT(VLOOKUP(AM105,Equip!$A:$N,6,FALSE)*SQRT(AQ105)),0)</f>
        <v>0</v>
      </c>
      <c r="AW105">
        <f t="shared" si="147"/>
        <v>0</v>
      </c>
      <c r="AX105">
        <f t="shared" si="148"/>
        <v>546</v>
      </c>
    </row>
    <row r="106" spans="1:50">
      <c r="A106">
        <v>43</v>
      </c>
      <c r="B106" t="s">
        <v>777</v>
      </c>
      <c r="C106" t="s">
        <v>777</v>
      </c>
      <c r="D106">
        <v>0</v>
      </c>
      <c r="E106">
        <v>1627</v>
      </c>
      <c r="F106">
        <v>913</v>
      </c>
      <c r="G106">
        <v>43</v>
      </c>
      <c r="H106">
        <v>1</v>
      </c>
      <c r="I106">
        <v>1</v>
      </c>
      <c r="J106">
        <v>3</v>
      </c>
      <c r="K106">
        <v>2</v>
      </c>
      <c r="L106">
        <v>2</v>
      </c>
      <c r="M106">
        <v>26</v>
      </c>
      <c r="N106">
        <v>26</v>
      </c>
      <c r="O106">
        <v>14</v>
      </c>
      <c r="P106">
        <v>10</v>
      </c>
      <c r="Q106">
        <v>24</v>
      </c>
      <c r="R106">
        <v>37</v>
      </c>
      <c r="S106">
        <v>13</v>
      </c>
      <c r="T106">
        <v>40</v>
      </c>
      <c r="U106">
        <v>10</v>
      </c>
      <c r="V106">
        <v>8</v>
      </c>
      <c r="W106">
        <v>2</v>
      </c>
      <c r="X106">
        <v>10</v>
      </c>
      <c r="Y106">
        <v>0</v>
      </c>
      <c r="Z106">
        <v>25</v>
      </c>
      <c r="AA106">
        <v>25</v>
      </c>
      <c r="AB106">
        <v>39</v>
      </c>
      <c r="AC106">
        <v>79</v>
      </c>
      <c r="AD106">
        <v>49</v>
      </c>
      <c r="AE106">
        <v>29</v>
      </c>
      <c r="AF106">
        <v>49</v>
      </c>
      <c r="AG106">
        <v>69</v>
      </c>
      <c r="AH106">
        <v>79</v>
      </c>
      <c r="AI106">
        <v>39</v>
      </c>
      <c r="AJ106">
        <v>4</v>
      </c>
      <c r="AK106">
        <v>0</v>
      </c>
      <c r="AL106">
        <v>-1</v>
      </c>
      <c r="AM106">
        <v>-1</v>
      </c>
      <c r="AN106">
        <v>1</v>
      </c>
      <c r="AO106">
        <v>1</v>
      </c>
      <c r="AP106">
        <v>0</v>
      </c>
      <c r="AQ106">
        <v>0</v>
      </c>
      <c r="AR106">
        <f t="shared" si="158"/>
        <v>2</v>
      </c>
      <c r="AS106">
        <f>IF(AND(IFERROR(VLOOKUP(AJ106,Equip!$A:$N,13,FALSE),0)&gt;=5,IFERROR(VLOOKUP(AJ106,Equip!$A:$N,13,FALSE),0)&lt;=9),INT(VLOOKUP(AJ106,Equip!$A:$N,6,FALSE)*SQRT(AN106)),0)</f>
        <v>0</v>
      </c>
      <c r="AT106">
        <f>IF(AND(IFERROR(VLOOKUP(AK106,Equip!$A:$N,13,FALSE),0)&gt;=5,IFERROR(VLOOKUP(AK106,Equip!$A:$N,13,FALSE),0)&lt;=9),INT(VLOOKUP(AK106,Equip!$A:$N,6,FALSE)*SQRT(AO106)),0)</f>
        <v>0</v>
      </c>
      <c r="AU106">
        <f>IF(AND(IFERROR(VLOOKUP(AL106,Equip!$A:$N,13,FALSE),0)&gt;=5,IFERROR(VLOOKUP(AL106,Equip!$A:$N,13,FALSE),0)&lt;=9),INT(VLOOKUP(AL106,Equip!$A:$N,6,FALSE)*SQRT(AP106)),0)</f>
        <v>0</v>
      </c>
      <c r="AV106">
        <f>IF(AND(IFERROR(VLOOKUP(AM106,Equip!$A:$N,13,FALSE),0)&gt;=5,IFERROR(VLOOKUP(AM106,Equip!$A:$N,13,FALSE),0)&lt;=9),INT(VLOOKUP(AM106,Equip!$A:$N,6,FALSE)*SQRT(AQ106)),0)</f>
        <v>0</v>
      </c>
      <c r="AW106">
        <f t="shared" si="147"/>
        <v>0</v>
      </c>
      <c r="AX106">
        <f t="shared" si="148"/>
        <v>409</v>
      </c>
    </row>
    <row r="107" spans="1:50">
      <c r="A107">
        <v>43</v>
      </c>
      <c r="B107" t="s">
        <v>777</v>
      </c>
      <c r="C107" t="s">
        <v>777</v>
      </c>
      <c r="D107">
        <v>1</v>
      </c>
      <c r="E107">
        <f t="shared" ref="E107:E108" si="284">E106</f>
        <v>1627</v>
      </c>
      <c r="F107">
        <f t="shared" ref="F107:F108" si="285">F106</f>
        <v>913</v>
      </c>
      <c r="G107">
        <f t="shared" ref="G107:G108" si="286">G106</f>
        <v>43</v>
      </c>
      <c r="H107">
        <f t="shared" ref="H107:H108" si="287">H106</f>
        <v>1</v>
      </c>
      <c r="I107">
        <f t="shared" ref="I107:I108" si="288">I106</f>
        <v>1</v>
      </c>
      <c r="J107">
        <f t="shared" ref="J107:J108" si="289">J106</f>
        <v>3</v>
      </c>
      <c r="K107">
        <v>2</v>
      </c>
      <c r="L107">
        <v>2</v>
      </c>
      <c r="M107">
        <v>37</v>
      </c>
      <c r="N107">
        <v>37</v>
      </c>
      <c r="O107">
        <v>20</v>
      </c>
      <c r="P107">
        <v>31</v>
      </c>
      <c r="Q107">
        <v>27</v>
      </c>
      <c r="R107">
        <v>44</v>
      </c>
      <c r="S107">
        <v>41</v>
      </c>
      <c r="T107">
        <v>51</v>
      </c>
      <c r="U107">
        <f t="shared" ref="U107:U108" si="290">U106</f>
        <v>10</v>
      </c>
      <c r="V107">
        <v>14</v>
      </c>
      <c r="W107">
        <f t="shared" ref="W107" si="291">W106</f>
        <v>2</v>
      </c>
      <c r="X107">
        <v>12</v>
      </c>
      <c r="Y107">
        <f t="shared" ref="Y107:Y108" si="292">Y106</f>
        <v>0</v>
      </c>
      <c r="Z107">
        <v>25</v>
      </c>
      <c r="AA107">
        <v>30</v>
      </c>
      <c r="AB107">
        <v>59</v>
      </c>
      <c r="AC107">
        <v>79</v>
      </c>
      <c r="AD107">
        <v>59</v>
      </c>
      <c r="AE107">
        <v>59</v>
      </c>
      <c r="AF107">
        <v>59</v>
      </c>
      <c r="AG107">
        <v>79</v>
      </c>
      <c r="AH107">
        <v>79</v>
      </c>
      <c r="AI107">
        <v>49</v>
      </c>
      <c r="AJ107">
        <v>10</v>
      </c>
      <c r="AK107">
        <v>30</v>
      </c>
      <c r="AL107">
        <v>15</v>
      </c>
      <c r="AM107">
        <v>-1</v>
      </c>
      <c r="AN107">
        <v>1</v>
      </c>
      <c r="AO107">
        <v>1</v>
      </c>
      <c r="AP107">
        <v>1</v>
      </c>
      <c r="AQ107">
        <v>0</v>
      </c>
      <c r="AR107">
        <f t="shared" si="158"/>
        <v>3</v>
      </c>
      <c r="AS107">
        <f>IF(AND(IFERROR(VLOOKUP(AJ107,Equip!$A:$N,13,FALSE),0)&gt;=5,IFERROR(VLOOKUP(AJ107,Equip!$A:$N,13,FALSE),0)&lt;=9),INT(VLOOKUP(AJ107,Equip!$A:$N,6,FALSE)*SQRT(AN107)),0)</f>
        <v>0</v>
      </c>
      <c r="AT107">
        <f>IF(AND(IFERROR(VLOOKUP(AK107,Equip!$A:$N,13,FALSE),0)&gt;=5,IFERROR(VLOOKUP(AK107,Equip!$A:$N,13,FALSE),0)&lt;=9),INT(VLOOKUP(AK107,Equip!$A:$N,6,FALSE)*SQRT(AO107)),0)</f>
        <v>0</v>
      </c>
      <c r="AU107">
        <f>IF(AND(IFERROR(VLOOKUP(AL107,Equip!$A:$N,13,FALSE),0)&gt;=5,IFERROR(VLOOKUP(AL107,Equip!$A:$N,13,FALSE),0)&lt;=9),INT(VLOOKUP(AL107,Equip!$A:$N,6,FALSE)*SQRT(AP107)),0)</f>
        <v>0</v>
      </c>
      <c r="AV107">
        <f>IF(AND(IFERROR(VLOOKUP(AM107,Equip!$A:$N,13,FALSE),0)&gt;=5,IFERROR(VLOOKUP(AM107,Equip!$A:$N,13,FALSE),0)&lt;=9),INT(VLOOKUP(AM107,Equip!$A:$N,6,FALSE)*SQRT(AQ107)),0)</f>
        <v>0</v>
      </c>
      <c r="AW107">
        <f t="shared" si="147"/>
        <v>0</v>
      </c>
      <c r="AX107">
        <f t="shared" si="148"/>
        <v>500</v>
      </c>
    </row>
    <row r="108" spans="1:50">
      <c r="A108">
        <v>43</v>
      </c>
      <c r="B108" t="s">
        <v>777</v>
      </c>
      <c r="C108" t="s">
        <v>777</v>
      </c>
      <c r="D108">
        <v>2</v>
      </c>
      <c r="E108">
        <f t="shared" si="284"/>
        <v>1627</v>
      </c>
      <c r="F108">
        <f t="shared" si="285"/>
        <v>913</v>
      </c>
      <c r="G108">
        <f t="shared" si="286"/>
        <v>43</v>
      </c>
      <c r="H108">
        <f t="shared" si="287"/>
        <v>1</v>
      </c>
      <c r="I108">
        <f t="shared" si="288"/>
        <v>1</v>
      </c>
      <c r="J108">
        <f t="shared" si="289"/>
        <v>3</v>
      </c>
      <c r="K108">
        <v>2</v>
      </c>
      <c r="L108">
        <v>2</v>
      </c>
      <c r="M108">
        <v>44</v>
      </c>
      <c r="N108">
        <v>44</v>
      </c>
      <c r="O108">
        <v>27</v>
      </c>
      <c r="P108">
        <v>46</v>
      </c>
      <c r="Q108">
        <v>36</v>
      </c>
      <c r="R108">
        <v>60</v>
      </c>
      <c r="S108">
        <v>53</v>
      </c>
      <c r="T108">
        <v>74</v>
      </c>
      <c r="U108">
        <f t="shared" si="290"/>
        <v>10</v>
      </c>
      <c r="V108">
        <v>14</v>
      </c>
      <c r="W108">
        <v>1</v>
      </c>
      <c r="X108">
        <v>13</v>
      </c>
      <c r="Y108">
        <f t="shared" si="292"/>
        <v>0</v>
      </c>
      <c r="Z108">
        <v>25</v>
      </c>
      <c r="AA108">
        <v>30</v>
      </c>
      <c r="AB108">
        <v>59</v>
      </c>
      <c r="AC108">
        <v>79</v>
      </c>
      <c r="AD108">
        <v>84</v>
      </c>
      <c r="AE108">
        <v>69</v>
      </c>
      <c r="AF108">
        <v>67</v>
      </c>
      <c r="AG108">
        <v>79</v>
      </c>
      <c r="AH108">
        <v>94</v>
      </c>
      <c r="AI108">
        <v>59</v>
      </c>
      <c r="AJ108">
        <v>28</v>
      </c>
      <c r="AK108">
        <v>30</v>
      </c>
      <c r="AL108">
        <v>45</v>
      </c>
      <c r="AM108">
        <v>-1</v>
      </c>
      <c r="AN108">
        <v>0</v>
      </c>
      <c r="AO108">
        <v>0</v>
      </c>
      <c r="AP108">
        <v>0</v>
      </c>
      <c r="AQ108">
        <v>0</v>
      </c>
      <c r="AR108">
        <f t="shared" si="158"/>
        <v>0</v>
      </c>
      <c r="AS108">
        <f>IF(AND(IFERROR(VLOOKUP(AJ108,Equip!$A:$N,13,FALSE),0)&gt;=5,IFERROR(VLOOKUP(AJ108,Equip!$A:$N,13,FALSE),0)&lt;=9),INT(VLOOKUP(AJ108,Equip!$A:$N,6,FALSE)*SQRT(AN108)),0)</f>
        <v>0</v>
      </c>
      <c r="AT108">
        <f>IF(AND(IFERROR(VLOOKUP(AK108,Equip!$A:$N,13,FALSE),0)&gt;=5,IFERROR(VLOOKUP(AK108,Equip!$A:$N,13,FALSE),0)&lt;=9),INT(VLOOKUP(AK108,Equip!$A:$N,6,FALSE)*SQRT(AO108)),0)</f>
        <v>0</v>
      </c>
      <c r="AU108">
        <f>IF(AND(IFERROR(VLOOKUP(AL108,Equip!$A:$N,13,FALSE),0)&gt;=5,IFERROR(VLOOKUP(AL108,Equip!$A:$N,13,FALSE),0)&lt;=9),INT(VLOOKUP(AL108,Equip!$A:$N,6,FALSE)*SQRT(AP108)),0)</f>
        <v>0</v>
      </c>
      <c r="AV108">
        <f>IF(AND(IFERROR(VLOOKUP(AM108,Equip!$A:$N,13,FALSE),0)&gt;=5,IFERROR(VLOOKUP(AM108,Equip!$A:$N,13,FALSE),0)&lt;=9),INT(VLOOKUP(AM108,Equip!$A:$N,6,FALSE)*SQRT(AQ108)),0)</f>
        <v>0</v>
      </c>
      <c r="AW108">
        <f t="shared" si="147"/>
        <v>0</v>
      </c>
      <c r="AX108">
        <f t="shared" si="148"/>
        <v>567</v>
      </c>
    </row>
    <row r="109" spans="1:50">
      <c r="A109">
        <v>44</v>
      </c>
      <c r="B109" t="s">
        <v>778</v>
      </c>
      <c r="C109" t="s">
        <v>778</v>
      </c>
      <c r="D109">
        <v>0</v>
      </c>
      <c r="E109">
        <v>1627</v>
      </c>
      <c r="F109">
        <v>913</v>
      </c>
      <c r="G109">
        <v>44</v>
      </c>
      <c r="H109">
        <v>1</v>
      </c>
      <c r="I109">
        <v>1</v>
      </c>
      <c r="J109">
        <v>6</v>
      </c>
      <c r="K109">
        <v>2</v>
      </c>
      <c r="L109">
        <v>2</v>
      </c>
      <c r="M109">
        <v>26</v>
      </c>
      <c r="N109">
        <v>26</v>
      </c>
      <c r="O109">
        <v>14</v>
      </c>
      <c r="P109">
        <v>10</v>
      </c>
      <c r="Q109">
        <v>24</v>
      </c>
      <c r="R109">
        <v>37</v>
      </c>
      <c r="S109">
        <v>13</v>
      </c>
      <c r="T109">
        <v>20</v>
      </c>
      <c r="U109">
        <v>10</v>
      </c>
      <c r="V109">
        <v>8</v>
      </c>
      <c r="W109">
        <v>2</v>
      </c>
      <c r="X109">
        <v>10</v>
      </c>
      <c r="Y109">
        <v>0</v>
      </c>
      <c r="Z109">
        <v>25</v>
      </c>
      <c r="AA109">
        <v>25</v>
      </c>
      <c r="AB109">
        <v>39</v>
      </c>
      <c r="AC109">
        <v>79</v>
      </c>
      <c r="AD109">
        <v>49</v>
      </c>
      <c r="AE109">
        <v>29</v>
      </c>
      <c r="AF109">
        <v>49</v>
      </c>
      <c r="AG109">
        <v>69</v>
      </c>
      <c r="AH109">
        <v>59</v>
      </c>
      <c r="AI109">
        <v>39</v>
      </c>
      <c r="AJ109">
        <v>4</v>
      </c>
      <c r="AK109">
        <v>0</v>
      </c>
      <c r="AL109">
        <v>-1</v>
      </c>
      <c r="AM109">
        <v>-1</v>
      </c>
      <c r="AN109">
        <v>1</v>
      </c>
      <c r="AO109">
        <v>1</v>
      </c>
      <c r="AP109">
        <v>0</v>
      </c>
      <c r="AQ109">
        <v>0</v>
      </c>
      <c r="AR109">
        <f t="shared" si="158"/>
        <v>2</v>
      </c>
      <c r="AS109">
        <f>IF(AND(IFERROR(VLOOKUP(AJ109,Equip!$A:$N,13,FALSE),0)&gt;=5,IFERROR(VLOOKUP(AJ109,Equip!$A:$N,13,FALSE),0)&lt;=9),INT(VLOOKUP(AJ109,Equip!$A:$N,6,FALSE)*SQRT(AN109)),0)</f>
        <v>0</v>
      </c>
      <c r="AT109">
        <f>IF(AND(IFERROR(VLOOKUP(AK109,Equip!$A:$N,13,FALSE),0)&gt;=5,IFERROR(VLOOKUP(AK109,Equip!$A:$N,13,FALSE),0)&lt;=9),INT(VLOOKUP(AK109,Equip!$A:$N,6,FALSE)*SQRT(AO109)),0)</f>
        <v>0</v>
      </c>
      <c r="AU109">
        <f>IF(AND(IFERROR(VLOOKUP(AL109,Equip!$A:$N,13,FALSE),0)&gt;=5,IFERROR(VLOOKUP(AL109,Equip!$A:$N,13,FALSE),0)&lt;=9),INT(VLOOKUP(AL109,Equip!$A:$N,6,FALSE)*SQRT(AP109)),0)</f>
        <v>0</v>
      </c>
      <c r="AV109">
        <f>IF(AND(IFERROR(VLOOKUP(AM109,Equip!$A:$N,13,FALSE),0)&gt;=5,IFERROR(VLOOKUP(AM109,Equip!$A:$N,13,FALSE),0)&lt;=9),INT(VLOOKUP(AM109,Equip!$A:$N,6,FALSE)*SQRT(AQ109)),0)</f>
        <v>0</v>
      </c>
      <c r="AW109">
        <f t="shared" si="147"/>
        <v>0</v>
      </c>
      <c r="AX109">
        <f t="shared" si="148"/>
        <v>389</v>
      </c>
    </row>
    <row r="110" spans="1:50">
      <c r="A110">
        <v>44</v>
      </c>
      <c r="B110" t="s">
        <v>778</v>
      </c>
      <c r="C110" t="s">
        <v>778</v>
      </c>
      <c r="D110">
        <v>1</v>
      </c>
      <c r="E110">
        <f>E109</f>
        <v>1627</v>
      </c>
      <c r="F110">
        <f t="shared" ref="F110" si="293">F109</f>
        <v>913</v>
      </c>
      <c r="G110">
        <f t="shared" ref="G110" si="294">G109</f>
        <v>44</v>
      </c>
      <c r="H110">
        <f t="shared" ref="H110" si="295">H109</f>
        <v>1</v>
      </c>
      <c r="I110">
        <f t="shared" ref="I110" si="296">I109</f>
        <v>1</v>
      </c>
      <c r="J110">
        <f t="shared" ref="J110" si="297">J109</f>
        <v>6</v>
      </c>
      <c r="K110">
        <v>2</v>
      </c>
      <c r="L110">
        <v>2</v>
      </c>
      <c r="M110">
        <v>43</v>
      </c>
      <c r="N110">
        <v>43</v>
      </c>
      <c r="O110">
        <v>23</v>
      </c>
      <c r="P110">
        <v>34</v>
      </c>
      <c r="Q110">
        <v>35</v>
      </c>
      <c r="R110">
        <v>47</v>
      </c>
      <c r="S110">
        <v>19</v>
      </c>
      <c r="T110">
        <v>35</v>
      </c>
      <c r="U110">
        <f t="shared" ref="U110" si="298">U109</f>
        <v>10</v>
      </c>
      <c r="V110">
        <v>17</v>
      </c>
      <c r="W110">
        <f t="shared" ref="W110" si="299">W109</f>
        <v>2</v>
      </c>
      <c r="X110">
        <v>12</v>
      </c>
      <c r="Y110">
        <f t="shared" ref="Y110" si="300">Y109</f>
        <v>0</v>
      </c>
      <c r="Z110">
        <v>25</v>
      </c>
      <c r="AA110">
        <v>30</v>
      </c>
      <c r="AB110">
        <v>69</v>
      </c>
      <c r="AC110">
        <v>89</v>
      </c>
      <c r="AD110">
        <v>59</v>
      </c>
      <c r="AE110">
        <v>59</v>
      </c>
      <c r="AF110">
        <v>59</v>
      </c>
      <c r="AG110">
        <v>79</v>
      </c>
      <c r="AH110">
        <v>79</v>
      </c>
      <c r="AI110">
        <v>49</v>
      </c>
      <c r="AJ110">
        <v>4</v>
      </c>
      <c r="AK110">
        <v>15</v>
      </c>
      <c r="AL110">
        <v>25</v>
      </c>
      <c r="AM110">
        <v>-1</v>
      </c>
      <c r="AN110">
        <v>1</v>
      </c>
      <c r="AO110">
        <v>1</v>
      </c>
      <c r="AP110">
        <v>1</v>
      </c>
      <c r="AQ110">
        <v>0</v>
      </c>
      <c r="AR110">
        <f t="shared" si="158"/>
        <v>3</v>
      </c>
      <c r="AS110">
        <f>IF(AND(IFERROR(VLOOKUP(AJ110,Equip!$A:$N,13,FALSE),0)&gt;=5,IFERROR(VLOOKUP(AJ110,Equip!$A:$N,13,FALSE),0)&lt;=9),INT(VLOOKUP(AJ110,Equip!$A:$N,6,FALSE)*SQRT(AN110)),0)</f>
        <v>0</v>
      </c>
      <c r="AT110">
        <f>IF(AND(IFERROR(VLOOKUP(AK110,Equip!$A:$N,13,FALSE),0)&gt;=5,IFERROR(VLOOKUP(AK110,Equip!$A:$N,13,FALSE),0)&lt;=9),INT(VLOOKUP(AK110,Equip!$A:$N,6,FALSE)*SQRT(AO110)),0)</f>
        <v>0</v>
      </c>
      <c r="AU110">
        <f>IF(AND(IFERROR(VLOOKUP(AL110,Equip!$A:$N,13,FALSE),0)&gt;=5,IFERROR(VLOOKUP(AL110,Equip!$A:$N,13,FALSE),0)&lt;=9),INT(VLOOKUP(AL110,Equip!$A:$N,6,FALSE)*SQRT(AP110)),0)</f>
        <v>0</v>
      </c>
      <c r="AV110">
        <f>IF(AND(IFERROR(VLOOKUP(AM110,Equip!$A:$N,13,FALSE),0)&gt;=5,IFERROR(VLOOKUP(AM110,Equip!$A:$N,13,FALSE),0)&lt;=9),INT(VLOOKUP(AM110,Equip!$A:$N,6,FALSE)*SQRT(AQ110)),0)</f>
        <v>0</v>
      </c>
      <c r="AW110">
        <f t="shared" si="147"/>
        <v>0</v>
      </c>
      <c r="AX110">
        <f t="shared" si="148"/>
        <v>526</v>
      </c>
    </row>
    <row r="111" spans="1:50">
      <c r="A111">
        <v>45</v>
      </c>
      <c r="B111" t="s">
        <v>779</v>
      </c>
      <c r="C111" t="s">
        <v>779</v>
      </c>
      <c r="D111">
        <v>0</v>
      </c>
      <c r="E111">
        <v>1627</v>
      </c>
      <c r="F111">
        <v>913</v>
      </c>
      <c r="G111">
        <v>45</v>
      </c>
      <c r="H111">
        <v>1</v>
      </c>
      <c r="I111">
        <v>1</v>
      </c>
      <c r="J111">
        <v>0</v>
      </c>
      <c r="K111">
        <v>2</v>
      </c>
      <c r="L111">
        <v>2</v>
      </c>
      <c r="M111">
        <v>26</v>
      </c>
      <c r="N111">
        <v>26</v>
      </c>
      <c r="O111">
        <v>14</v>
      </c>
      <c r="P111">
        <v>10</v>
      </c>
      <c r="Q111">
        <v>24</v>
      </c>
      <c r="R111">
        <v>37</v>
      </c>
      <c r="S111">
        <v>13</v>
      </c>
      <c r="T111">
        <v>40</v>
      </c>
      <c r="U111">
        <v>10</v>
      </c>
      <c r="V111">
        <v>8</v>
      </c>
      <c r="W111">
        <v>2</v>
      </c>
      <c r="X111">
        <v>12</v>
      </c>
      <c r="Y111">
        <v>0</v>
      </c>
      <c r="Z111">
        <v>25</v>
      </c>
      <c r="AA111">
        <v>25</v>
      </c>
      <c r="AB111">
        <v>39</v>
      </c>
      <c r="AC111">
        <v>79</v>
      </c>
      <c r="AD111">
        <v>49</v>
      </c>
      <c r="AE111">
        <v>29</v>
      </c>
      <c r="AF111">
        <v>49</v>
      </c>
      <c r="AG111">
        <v>69</v>
      </c>
      <c r="AH111">
        <v>79</v>
      </c>
      <c r="AI111">
        <v>39</v>
      </c>
      <c r="AJ111">
        <v>4</v>
      </c>
      <c r="AK111">
        <v>0</v>
      </c>
      <c r="AL111">
        <v>-1</v>
      </c>
      <c r="AM111">
        <v>-1</v>
      </c>
      <c r="AN111">
        <v>1</v>
      </c>
      <c r="AO111">
        <v>1</v>
      </c>
      <c r="AP111">
        <v>0</v>
      </c>
      <c r="AQ111">
        <v>0</v>
      </c>
      <c r="AR111">
        <f t="shared" si="158"/>
        <v>2</v>
      </c>
      <c r="AS111">
        <f>IF(AND(IFERROR(VLOOKUP(AJ111,Equip!$A:$N,13,FALSE),0)&gt;=5,IFERROR(VLOOKUP(AJ111,Equip!$A:$N,13,FALSE),0)&lt;=9),INT(VLOOKUP(AJ111,Equip!$A:$N,6,FALSE)*SQRT(AN111)),0)</f>
        <v>0</v>
      </c>
      <c r="AT111">
        <f>IF(AND(IFERROR(VLOOKUP(AK111,Equip!$A:$N,13,FALSE),0)&gt;=5,IFERROR(VLOOKUP(AK111,Equip!$A:$N,13,FALSE),0)&lt;=9),INT(VLOOKUP(AK111,Equip!$A:$N,6,FALSE)*SQRT(AO111)),0)</f>
        <v>0</v>
      </c>
      <c r="AU111">
        <f>IF(AND(IFERROR(VLOOKUP(AL111,Equip!$A:$N,13,FALSE),0)&gt;=5,IFERROR(VLOOKUP(AL111,Equip!$A:$N,13,FALSE),0)&lt;=9),INT(VLOOKUP(AL111,Equip!$A:$N,6,FALSE)*SQRT(AP111)),0)</f>
        <v>0</v>
      </c>
      <c r="AV111">
        <f>IF(AND(IFERROR(VLOOKUP(AM111,Equip!$A:$N,13,FALSE),0)&gt;=5,IFERROR(VLOOKUP(AM111,Equip!$A:$N,13,FALSE),0)&lt;=9),INT(VLOOKUP(AM111,Equip!$A:$N,6,FALSE)*SQRT(AQ111)),0)</f>
        <v>0</v>
      </c>
      <c r="AW111">
        <f t="shared" si="147"/>
        <v>0</v>
      </c>
      <c r="AX111">
        <f t="shared" si="148"/>
        <v>409</v>
      </c>
    </row>
    <row r="112" spans="1:50">
      <c r="A112">
        <v>45</v>
      </c>
      <c r="B112" t="s">
        <v>779</v>
      </c>
      <c r="C112" t="s">
        <v>779</v>
      </c>
      <c r="D112">
        <v>1</v>
      </c>
      <c r="E112">
        <f t="shared" ref="E112:E113" si="301">E111</f>
        <v>1627</v>
      </c>
      <c r="F112">
        <f t="shared" ref="F112:F113" si="302">F111</f>
        <v>913</v>
      </c>
      <c r="G112">
        <f t="shared" ref="G112:G113" si="303">G111</f>
        <v>45</v>
      </c>
      <c r="H112">
        <f t="shared" ref="H112:H113" si="304">H111</f>
        <v>1</v>
      </c>
      <c r="I112">
        <f t="shared" ref="I112:I113" si="305">I111</f>
        <v>1</v>
      </c>
      <c r="J112">
        <f t="shared" ref="J112:J113" si="306">J111</f>
        <v>0</v>
      </c>
      <c r="K112">
        <v>2</v>
      </c>
      <c r="L112">
        <v>2</v>
      </c>
      <c r="M112">
        <v>43</v>
      </c>
      <c r="N112">
        <v>43</v>
      </c>
      <c r="O112">
        <v>20</v>
      </c>
      <c r="P112">
        <v>29</v>
      </c>
      <c r="Q112">
        <v>24</v>
      </c>
      <c r="R112">
        <v>40</v>
      </c>
      <c r="S112">
        <v>23</v>
      </c>
      <c r="T112">
        <v>54</v>
      </c>
      <c r="U112">
        <f t="shared" ref="U112:U113" si="307">U111</f>
        <v>10</v>
      </c>
      <c r="V112">
        <v>17</v>
      </c>
      <c r="W112">
        <f t="shared" ref="W112" si="308">W111</f>
        <v>2</v>
      </c>
      <c r="X112">
        <v>12</v>
      </c>
      <c r="Y112">
        <f t="shared" ref="Y112:Y113" si="309">Y111</f>
        <v>0</v>
      </c>
      <c r="Z112">
        <v>25</v>
      </c>
      <c r="AA112">
        <v>30</v>
      </c>
      <c r="AB112">
        <v>59</v>
      </c>
      <c r="AC112">
        <v>79</v>
      </c>
      <c r="AD112">
        <v>59</v>
      </c>
      <c r="AE112">
        <v>59</v>
      </c>
      <c r="AF112">
        <v>59</v>
      </c>
      <c r="AG112">
        <v>79</v>
      </c>
      <c r="AH112">
        <v>79</v>
      </c>
      <c r="AI112">
        <v>49</v>
      </c>
      <c r="AJ112">
        <v>4</v>
      </c>
      <c r="AK112">
        <v>15</v>
      </c>
      <c r="AL112">
        <v>25</v>
      </c>
      <c r="AM112">
        <v>-1</v>
      </c>
      <c r="AN112">
        <v>1</v>
      </c>
      <c r="AO112">
        <v>1</v>
      </c>
      <c r="AP112">
        <v>1</v>
      </c>
      <c r="AQ112">
        <v>0</v>
      </c>
      <c r="AR112">
        <f t="shared" si="158"/>
        <v>3</v>
      </c>
      <c r="AS112">
        <f>IF(AND(IFERROR(VLOOKUP(AJ112,Equip!$A:$N,13,FALSE),0)&gt;=5,IFERROR(VLOOKUP(AJ112,Equip!$A:$N,13,FALSE),0)&lt;=9),INT(VLOOKUP(AJ112,Equip!$A:$N,6,FALSE)*SQRT(AN112)),0)</f>
        <v>0</v>
      </c>
      <c r="AT112">
        <f>IF(AND(IFERROR(VLOOKUP(AK112,Equip!$A:$N,13,FALSE),0)&gt;=5,IFERROR(VLOOKUP(AK112,Equip!$A:$N,13,FALSE),0)&lt;=9),INT(VLOOKUP(AK112,Equip!$A:$N,6,FALSE)*SQRT(AO112)),0)</f>
        <v>0</v>
      </c>
      <c r="AU112">
        <f>IF(AND(IFERROR(VLOOKUP(AL112,Equip!$A:$N,13,FALSE),0)&gt;=5,IFERROR(VLOOKUP(AL112,Equip!$A:$N,13,FALSE),0)&lt;=9),INT(VLOOKUP(AL112,Equip!$A:$N,6,FALSE)*SQRT(AP112)),0)</f>
        <v>0</v>
      </c>
      <c r="AV112">
        <f>IF(AND(IFERROR(VLOOKUP(AM112,Equip!$A:$N,13,FALSE),0)&gt;=5,IFERROR(VLOOKUP(AM112,Equip!$A:$N,13,FALSE),0)&lt;=9),INT(VLOOKUP(AM112,Equip!$A:$N,6,FALSE)*SQRT(AQ112)),0)</f>
        <v>0</v>
      </c>
      <c r="AW112">
        <f t="shared" si="147"/>
        <v>0</v>
      </c>
      <c r="AX112">
        <f t="shared" si="148"/>
        <v>506</v>
      </c>
    </row>
    <row r="113" spans="1:50">
      <c r="A113">
        <v>45</v>
      </c>
      <c r="B113" t="s">
        <v>779</v>
      </c>
      <c r="C113" t="s">
        <v>779</v>
      </c>
      <c r="D113">
        <v>2</v>
      </c>
      <c r="E113">
        <f t="shared" si="301"/>
        <v>1627</v>
      </c>
      <c r="F113">
        <f t="shared" si="302"/>
        <v>913</v>
      </c>
      <c r="G113">
        <f t="shared" si="303"/>
        <v>45</v>
      </c>
      <c r="H113">
        <f t="shared" si="304"/>
        <v>1</v>
      </c>
      <c r="I113">
        <f t="shared" si="305"/>
        <v>1</v>
      </c>
      <c r="J113">
        <f t="shared" si="306"/>
        <v>0</v>
      </c>
      <c r="K113">
        <v>2</v>
      </c>
      <c r="L113">
        <v>2</v>
      </c>
      <c r="M113">
        <v>45</v>
      </c>
      <c r="N113">
        <v>45</v>
      </c>
      <c r="O113">
        <v>14</v>
      </c>
      <c r="P113">
        <v>29</v>
      </c>
      <c r="Q113">
        <v>25</v>
      </c>
      <c r="R113">
        <v>43</v>
      </c>
      <c r="S113">
        <v>36</v>
      </c>
      <c r="T113">
        <v>49</v>
      </c>
      <c r="U113">
        <f t="shared" si="307"/>
        <v>10</v>
      </c>
      <c r="V113">
        <v>17</v>
      </c>
      <c r="W113">
        <v>1</v>
      </c>
      <c r="X113">
        <v>16</v>
      </c>
      <c r="Y113">
        <f t="shared" si="309"/>
        <v>0</v>
      </c>
      <c r="Z113">
        <v>25</v>
      </c>
      <c r="AA113">
        <v>30</v>
      </c>
      <c r="AB113">
        <v>53</v>
      </c>
      <c r="AC113">
        <v>80</v>
      </c>
      <c r="AD113">
        <v>88</v>
      </c>
      <c r="AE113">
        <v>67</v>
      </c>
      <c r="AF113">
        <v>70</v>
      </c>
      <c r="AG113">
        <v>83</v>
      </c>
      <c r="AH113">
        <v>83</v>
      </c>
      <c r="AI113">
        <v>63</v>
      </c>
      <c r="AJ113">
        <v>229</v>
      </c>
      <c r="AK113">
        <v>238</v>
      </c>
      <c r="AL113">
        <v>0</v>
      </c>
      <c r="AM113">
        <v>-1</v>
      </c>
      <c r="AN113">
        <v>1</v>
      </c>
      <c r="AO113">
        <v>2</v>
      </c>
      <c r="AP113">
        <v>1</v>
      </c>
      <c r="AQ113">
        <v>0</v>
      </c>
      <c r="AR113">
        <f t="shared" si="158"/>
        <v>4</v>
      </c>
      <c r="AS113">
        <f>IF(AND(IFERROR(VLOOKUP(AJ113,Equip!$A:$N,13,FALSE),0)&gt;=5,IFERROR(VLOOKUP(AJ113,Equip!$A:$N,13,FALSE),0)&lt;=9),INT(VLOOKUP(AJ113,Equip!$A:$N,6,FALSE)*SQRT(AN113)),0)</f>
        <v>0</v>
      </c>
      <c r="AT113">
        <f>IF(AND(IFERROR(VLOOKUP(AK113,Equip!$A:$N,13,FALSE),0)&gt;=5,IFERROR(VLOOKUP(AK113,Equip!$A:$N,13,FALSE),0)&lt;=9),INT(VLOOKUP(AK113,Equip!$A:$N,6,FALSE)*SQRT(AO113)),0)</f>
        <v>0</v>
      </c>
      <c r="AU113">
        <f>IF(AND(IFERROR(VLOOKUP(AL113,Equip!$A:$N,13,FALSE),0)&gt;=5,IFERROR(VLOOKUP(AL113,Equip!$A:$N,13,FALSE),0)&lt;=9),INT(VLOOKUP(AL113,Equip!$A:$N,6,FALSE)*SQRT(AP113)),0)</f>
        <v>0</v>
      </c>
      <c r="AV113">
        <f>IF(AND(IFERROR(VLOOKUP(AM113,Equip!$A:$N,13,FALSE),0)&gt;=5,IFERROR(VLOOKUP(AM113,Equip!$A:$N,13,FALSE),0)&lt;=9),INT(VLOOKUP(AM113,Equip!$A:$N,6,FALSE)*SQRT(AQ113)),0)</f>
        <v>0</v>
      </c>
      <c r="AW113">
        <f t="shared" si="147"/>
        <v>0</v>
      </c>
      <c r="AX113">
        <f t="shared" si="148"/>
        <v>562</v>
      </c>
    </row>
    <row r="114" spans="1:50">
      <c r="A114">
        <v>46</v>
      </c>
      <c r="B114" t="s">
        <v>780</v>
      </c>
      <c r="C114" t="s">
        <v>780</v>
      </c>
      <c r="D114">
        <v>0</v>
      </c>
      <c r="E114">
        <v>1627</v>
      </c>
      <c r="F114">
        <v>913</v>
      </c>
      <c r="G114">
        <v>46</v>
      </c>
      <c r="H114">
        <v>1</v>
      </c>
      <c r="I114">
        <v>1</v>
      </c>
      <c r="J114">
        <v>2</v>
      </c>
      <c r="K114">
        <v>2</v>
      </c>
      <c r="L114">
        <v>2</v>
      </c>
      <c r="M114">
        <v>26</v>
      </c>
      <c r="N114">
        <v>26</v>
      </c>
      <c r="O114">
        <v>14</v>
      </c>
      <c r="P114">
        <v>11</v>
      </c>
      <c r="Q114">
        <v>24</v>
      </c>
      <c r="R114">
        <v>38</v>
      </c>
      <c r="S114">
        <v>13</v>
      </c>
      <c r="T114">
        <v>20</v>
      </c>
      <c r="U114">
        <v>10</v>
      </c>
      <c r="V114">
        <v>8</v>
      </c>
      <c r="W114">
        <v>2</v>
      </c>
      <c r="X114">
        <v>12</v>
      </c>
      <c r="Y114">
        <v>0</v>
      </c>
      <c r="Z114">
        <v>25</v>
      </c>
      <c r="AA114">
        <v>25</v>
      </c>
      <c r="AB114">
        <v>49</v>
      </c>
      <c r="AC114">
        <v>89</v>
      </c>
      <c r="AD114">
        <v>59</v>
      </c>
      <c r="AE114">
        <v>29</v>
      </c>
      <c r="AF114">
        <v>49</v>
      </c>
      <c r="AG114">
        <v>79</v>
      </c>
      <c r="AH114">
        <v>69</v>
      </c>
      <c r="AI114">
        <v>39</v>
      </c>
      <c r="AJ114">
        <v>4</v>
      </c>
      <c r="AK114">
        <v>25</v>
      </c>
      <c r="AL114">
        <v>-1</v>
      </c>
      <c r="AM114">
        <v>-1</v>
      </c>
      <c r="AN114">
        <v>1</v>
      </c>
      <c r="AO114">
        <v>1</v>
      </c>
      <c r="AP114">
        <v>0</v>
      </c>
      <c r="AQ114">
        <v>0</v>
      </c>
      <c r="AR114">
        <f t="shared" si="158"/>
        <v>2</v>
      </c>
      <c r="AS114">
        <f>IF(AND(IFERROR(VLOOKUP(AJ114,Equip!$A:$N,13,FALSE),0)&gt;=5,IFERROR(VLOOKUP(AJ114,Equip!$A:$N,13,FALSE),0)&lt;=9),INT(VLOOKUP(AJ114,Equip!$A:$N,6,FALSE)*SQRT(AN114)),0)</f>
        <v>0</v>
      </c>
      <c r="AT114">
        <f>IF(AND(IFERROR(VLOOKUP(AK114,Equip!$A:$N,13,FALSE),0)&gt;=5,IFERROR(VLOOKUP(AK114,Equip!$A:$N,13,FALSE),0)&lt;=9),INT(VLOOKUP(AK114,Equip!$A:$N,6,FALSE)*SQRT(AO114)),0)</f>
        <v>0</v>
      </c>
      <c r="AU114">
        <f>IF(AND(IFERROR(VLOOKUP(AL114,Equip!$A:$N,13,FALSE),0)&gt;=5,IFERROR(VLOOKUP(AL114,Equip!$A:$N,13,FALSE),0)&lt;=9),INT(VLOOKUP(AL114,Equip!$A:$N,6,FALSE)*SQRT(AP114)),0)</f>
        <v>0</v>
      </c>
      <c r="AV114">
        <f>IF(AND(IFERROR(VLOOKUP(AM114,Equip!$A:$N,13,FALSE),0)&gt;=5,IFERROR(VLOOKUP(AM114,Equip!$A:$N,13,FALSE),0)&lt;=9),INT(VLOOKUP(AM114,Equip!$A:$N,6,FALSE)*SQRT(AQ114)),0)</f>
        <v>0</v>
      </c>
      <c r="AW114">
        <f t="shared" si="147"/>
        <v>0</v>
      </c>
      <c r="AX114">
        <f t="shared" si="148"/>
        <v>439</v>
      </c>
    </row>
    <row r="115" spans="1:50">
      <c r="A115">
        <v>46</v>
      </c>
      <c r="B115" t="s">
        <v>780</v>
      </c>
      <c r="C115" t="s">
        <v>780</v>
      </c>
      <c r="D115">
        <v>1</v>
      </c>
      <c r="E115">
        <f t="shared" ref="E115:E116" si="310">E114</f>
        <v>1627</v>
      </c>
      <c r="F115">
        <f t="shared" ref="F115:F116" si="311">F114</f>
        <v>913</v>
      </c>
      <c r="G115">
        <f t="shared" ref="G115:G116" si="312">G114</f>
        <v>46</v>
      </c>
      <c r="H115">
        <f t="shared" ref="H115:H116" si="313">H114</f>
        <v>1</v>
      </c>
      <c r="I115">
        <f t="shared" ref="I115:I116" si="314">I114</f>
        <v>1</v>
      </c>
      <c r="J115">
        <f t="shared" ref="J115:J116" si="315">J114</f>
        <v>2</v>
      </c>
      <c r="K115">
        <v>2</v>
      </c>
      <c r="L115">
        <v>2</v>
      </c>
      <c r="M115">
        <v>44</v>
      </c>
      <c r="N115">
        <v>44</v>
      </c>
      <c r="O115">
        <v>24</v>
      </c>
      <c r="P115">
        <v>33</v>
      </c>
      <c r="Q115">
        <v>29</v>
      </c>
      <c r="R115">
        <v>47</v>
      </c>
      <c r="S115">
        <v>20</v>
      </c>
      <c r="T115">
        <v>35</v>
      </c>
      <c r="U115">
        <f t="shared" ref="U115:U116" si="316">U114</f>
        <v>10</v>
      </c>
      <c r="V115">
        <v>17</v>
      </c>
      <c r="W115">
        <f t="shared" ref="W115:W116" si="317">W114</f>
        <v>2</v>
      </c>
      <c r="X115">
        <v>12</v>
      </c>
      <c r="Y115">
        <f t="shared" ref="Y115:Y116" si="318">Y114</f>
        <v>0</v>
      </c>
      <c r="Z115">
        <v>25</v>
      </c>
      <c r="AA115">
        <v>30</v>
      </c>
      <c r="AB115">
        <v>59</v>
      </c>
      <c r="AC115">
        <v>79</v>
      </c>
      <c r="AD115">
        <v>69</v>
      </c>
      <c r="AE115">
        <v>69</v>
      </c>
      <c r="AF115">
        <v>59</v>
      </c>
      <c r="AG115">
        <v>79</v>
      </c>
      <c r="AH115">
        <v>79</v>
      </c>
      <c r="AI115">
        <v>49</v>
      </c>
      <c r="AJ115">
        <v>4</v>
      </c>
      <c r="AK115">
        <v>15</v>
      </c>
      <c r="AL115">
        <v>25</v>
      </c>
      <c r="AM115">
        <v>-1</v>
      </c>
      <c r="AN115">
        <v>1</v>
      </c>
      <c r="AO115">
        <v>1</v>
      </c>
      <c r="AP115">
        <v>1</v>
      </c>
      <c r="AQ115">
        <v>0</v>
      </c>
      <c r="AR115">
        <f t="shared" si="158"/>
        <v>3</v>
      </c>
      <c r="AS115">
        <f>IF(AND(IFERROR(VLOOKUP(AJ115,Equip!$A:$N,13,FALSE),0)&gt;=5,IFERROR(VLOOKUP(AJ115,Equip!$A:$N,13,FALSE),0)&lt;=9),INT(VLOOKUP(AJ115,Equip!$A:$N,6,FALSE)*SQRT(AN115)),0)</f>
        <v>0</v>
      </c>
      <c r="AT115">
        <f>IF(AND(IFERROR(VLOOKUP(AK115,Equip!$A:$N,13,FALSE),0)&gt;=5,IFERROR(VLOOKUP(AK115,Equip!$A:$N,13,FALSE),0)&lt;=9),INT(VLOOKUP(AK115,Equip!$A:$N,6,FALSE)*SQRT(AO115)),0)</f>
        <v>0</v>
      </c>
      <c r="AU115">
        <f>IF(AND(IFERROR(VLOOKUP(AL115,Equip!$A:$N,13,FALSE),0)&gt;=5,IFERROR(VLOOKUP(AL115,Equip!$A:$N,13,FALSE),0)&lt;=9),INT(VLOOKUP(AL115,Equip!$A:$N,6,FALSE)*SQRT(AP115)),0)</f>
        <v>0</v>
      </c>
      <c r="AV115">
        <f>IF(AND(IFERROR(VLOOKUP(AM115,Equip!$A:$N,13,FALSE),0)&gt;=5,IFERROR(VLOOKUP(AM115,Equip!$A:$N,13,FALSE),0)&lt;=9),INT(VLOOKUP(AM115,Equip!$A:$N,6,FALSE)*SQRT(AQ115)),0)</f>
        <v>0</v>
      </c>
      <c r="AW115">
        <f t="shared" si="147"/>
        <v>0</v>
      </c>
      <c r="AX115">
        <f t="shared" si="148"/>
        <v>527</v>
      </c>
    </row>
    <row r="116" spans="1:50">
      <c r="A116">
        <v>46</v>
      </c>
      <c r="B116" t="s">
        <v>780</v>
      </c>
      <c r="C116" t="s">
        <v>780</v>
      </c>
      <c r="D116">
        <v>2</v>
      </c>
      <c r="E116">
        <f t="shared" si="310"/>
        <v>1627</v>
      </c>
      <c r="F116">
        <f t="shared" si="311"/>
        <v>913</v>
      </c>
      <c r="G116">
        <f t="shared" si="312"/>
        <v>46</v>
      </c>
      <c r="H116">
        <f t="shared" si="313"/>
        <v>1</v>
      </c>
      <c r="I116">
        <f t="shared" si="314"/>
        <v>1</v>
      </c>
      <c r="J116">
        <f t="shared" si="315"/>
        <v>2</v>
      </c>
      <c r="K116">
        <v>2</v>
      </c>
      <c r="L116">
        <v>2</v>
      </c>
      <c r="M116">
        <v>49</v>
      </c>
      <c r="N116">
        <v>49</v>
      </c>
      <c r="O116">
        <v>35</v>
      </c>
      <c r="P116">
        <v>39</v>
      </c>
      <c r="Q116">
        <v>42</v>
      </c>
      <c r="R116">
        <v>67</v>
      </c>
      <c r="S116">
        <v>33</v>
      </c>
      <c r="T116">
        <v>59</v>
      </c>
      <c r="U116">
        <f t="shared" si="316"/>
        <v>10</v>
      </c>
      <c r="V116">
        <v>39</v>
      </c>
      <c r="W116">
        <f t="shared" si="317"/>
        <v>2</v>
      </c>
      <c r="X116">
        <v>14</v>
      </c>
      <c r="Y116">
        <f t="shared" si="318"/>
        <v>0</v>
      </c>
      <c r="Z116">
        <v>25</v>
      </c>
      <c r="AA116">
        <v>35</v>
      </c>
      <c r="AB116">
        <v>67</v>
      </c>
      <c r="AC116">
        <v>89</v>
      </c>
      <c r="AD116">
        <v>70</v>
      </c>
      <c r="AE116">
        <v>69</v>
      </c>
      <c r="AF116">
        <v>79</v>
      </c>
      <c r="AG116">
        <v>84</v>
      </c>
      <c r="AH116">
        <v>74</v>
      </c>
      <c r="AI116">
        <v>55</v>
      </c>
      <c r="AJ116">
        <v>101</v>
      </c>
      <c r="AK116">
        <v>74</v>
      </c>
      <c r="AL116">
        <v>102</v>
      </c>
      <c r="AM116">
        <v>-1</v>
      </c>
      <c r="AN116">
        <v>1</v>
      </c>
      <c r="AO116">
        <v>1</v>
      </c>
      <c r="AP116">
        <v>1</v>
      </c>
      <c r="AQ116">
        <v>0</v>
      </c>
      <c r="AR116">
        <f t="shared" si="158"/>
        <v>3</v>
      </c>
      <c r="AS116">
        <f>IF(AND(IFERROR(VLOOKUP(AJ116,Equip!$A:$N,13,FALSE),0)&gt;=5,IFERROR(VLOOKUP(AJ116,Equip!$A:$N,13,FALSE),0)&lt;=9),INT(VLOOKUP(AJ116,Equip!$A:$N,6,FALSE)*SQRT(AN116)),0)</f>
        <v>0</v>
      </c>
      <c r="AT116">
        <f>IF(AND(IFERROR(VLOOKUP(AK116,Equip!$A:$N,13,FALSE),0)&gt;=5,IFERROR(VLOOKUP(AK116,Equip!$A:$N,13,FALSE),0)&lt;=9),INT(VLOOKUP(AK116,Equip!$A:$N,6,FALSE)*SQRT(AO116)),0)</f>
        <v>0</v>
      </c>
      <c r="AU116">
        <f>IF(AND(IFERROR(VLOOKUP(AL116,Equip!$A:$N,13,FALSE),0)&gt;=5,IFERROR(VLOOKUP(AL116,Equip!$A:$N,13,FALSE),0)&lt;=9),INT(VLOOKUP(AL116,Equip!$A:$N,6,FALSE)*SQRT(AP116)),0)</f>
        <v>0</v>
      </c>
      <c r="AV116">
        <f>IF(AND(IFERROR(VLOOKUP(AM116,Equip!$A:$N,13,FALSE),0)&gt;=5,IFERROR(VLOOKUP(AM116,Equip!$A:$N,13,FALSE),0)&lt;=9),INT(VLOOKUP(AM116,Equip!$A:$N,6,FALSE)*SQRT(AQ116)),0)</f>
        <v>0</v>
      </c>
      <c r="AW116">
        <f t="shared" si="147"/>
        <v>0</v>
      </c>
      <c r="AX116">
        <f t="shared" si="148"/>
        <v>557</v>
      </c>
    </row>
    <row r="117" spans="1:50">
      <c r="A117">
        <v>47</v>
      </c>
      <c r="B117" t="s">
        <v>781</v>
      </c>
      <c r="C117" t="s">
        <v>781</v>
      </c>
      <c r="D117">
        <v>0</v>
      </c>
      <c r="E117">
        <v>1627</v>
      </c>
      <c r="F117">
        <v>913</v>
      </c>
      <c r="G117">
        <v>47</v>
      </c>
      <c r="H117">
        <v>1</v>
      </c>
      <c r="I117">
        <v>1</v>
      </c>
      <c r="J117">
        <v>6</v>
      </c>
      <c r="K117">
        <v>2</v>
      </c>
      <c r="L117">
        <v>2</v>
      </c>
      <c r="M117">
        <v>26</v>
      </c>
      <c r="N117">
        <v>26</v>
      </c>
      <c r="O117">
        <v>14</v>
      </c>
      <c r="P117">
        <v>11</v>
      </c>
      <c r="Q117">
        <v>24</v>
      </c>
      <c r="R117">
        <v>38</v>
      </c>
      <c r="S117">
        <v>13</v>
      </c>
      <c r="T117">
        <v>20</v>
      </c>
      <c r="U117">
        <v>10</v>
      </c>
      <c r="V117">
        <v>8</v>
      </c>
      <c r="W117">
        <v>2</v>
      </c>
      <c r="X117">
        <v>10</v>
      </c>
      <c r="Y117">
        <v>0</v>
      </c>
      <c r="Z117">
        <v>25</v>
      </c>
      <c r="AA117">
        <v>25</v>
      </c>
      <c r="AB117">
        <v>39</v>
      </c>
      <c r="AC117">
        <v>79</v>
      </c>
      <c r="AD117">
        <v>49</v>
      </c>
      <c r="AE117">
        <v>29</v>
      </c>
      <c r="AF117">
        <v>49</v>
      </c>
      <c r="AG117">
        <v>69</v>
      </c>
      <c r="AH117">
        <v>69</v>
      </c>
      <c r="AI117">
        <v>39</v>
      </c>
      <c r="AJ117">
        <v>4</v>
      </c>
      <c r="AK117">
        <v>0</v>
      </c>
      <c r="AL117">
        <v>-1</v>
      </c>
      <c r="AM117">
        <v>-1</v>
      </c>
      <c r="AN117">
        <v>1</v>
      </c>
      <c r="AO117">
        <v>1</v>
      </c>
      <c r="AP117">
        <v>0</v>
      </c>
      <c r="AQ117">
        <v>0</v>
      </c>
      <c r="AR117">
        <f t="shared" si="158"/>
        <v>2</v>
      </c>
      <c r="AS117">
        <f>IF(AND(IFERROR(VLOOKUP(AJ117,Equip!$A:$N,13,FALSE),0)&gt;=5,IFERROR(VLOOKUP(AJ117,Equip!$A:$N,13,FALSE),0)&lt;=9),INT(VLOOKUP(AJ117,Equip!$A:$N,6,FALSE)*SQRT(AN117)),0)</f>
        <v>0</v>
      </c>
      <c r="AT117">
        <f>IF(AND(IFERROR(VLOOKUP(AK117,Equip!$A:$N,13,FALSE),0)&gt;=5,IFERROR(VLOOKUP(AK117,Equip!$A:$N,13,FALSE),0)&lt;=9),INT(VLOOKUP(AK117,Equip!$A:$N,6,FALSE)*SQRT(AO117)),0)</f>
        <v>0</v>
      </c>
      <c r="AU117">
        <f>IF(AND(IFERROR(VLOOKUP(AL117,Equip!$A:$N,13,FALSE),0)&gt;=5,IFERROR(VLOOKUP(AL117,Equip!$A:$N,13,FALSE),0)&lt;=9),INT(VLOOKUP(AL117,Equip!$A:$N,6,FALSE)*SQRT(AP117)),0)</f>
        <v>0</v>
      </c>
      <c r="AV117">
        <f>IF(AND(IFERROR(VLOOKUP(AM117,Equip!$A:$N,13,FALSE),0)&gt;=5,IFERROR(VLOOKUP(AM117,Equip!$A:$N,13,FALSE),0)&lt;=9),INT(VLOOKUP(AM117,Equip!$A:$N,6,FALSE)*SQRT(AQ117)),0)</f>
        <v>0</v>
      </c>
      <c r="AW117">
        <f t="shared" si="147"/>
        <v>0</v>
      </c>
      <c r="AX117">
        <f t="shared" si="148"/>
        <v>399</v>
      </c>
    </row>
    <row r="118" spans="1:50">
      <c r="A118">
        <v>47</v>
      </c>
      <c r="B118" t="s">
        <v>781</v>
      </c>
      <c r="C118" t="s">
        <v>781</v>
      </c>
      <c r="D118">
        <v>1</v>
      </c>
      <c r="E118">
        <f t="shared" ref="E118:E119" si="319">E117</f>
        <v>1627</v>
      </c>
      <c r="F118">
        <f t="shared" ref="F118:F119" si="320">F117</f>
        <v>913</v>
      </c>
      <c r="G118">
        <f t="shared" ref="G118:G119" si="321">G117</f>
        <v>47</v>
      </c>
      <c r="H118">
        <f t="shared" ref="H118:H119" si="322">H117</f>
        <v>1</v>
      </c>
      <c r="I118">
        <f t="shared" ref="I118:I119" si="323">I117</f>
        <v>1</v>
      </c>
      <c r="J118">
        <f t="shared" ref="J118:J119" si="324">J117</f>
        <v>6</v>
      </c>
      <c r="K118">
        <v>2</v>
      </c>
      <c r="L118">
        <v>2</v>
      </c>
      <c r="M118">
        <v>44</v>
      </c>
      <c r="N118">
        <v>44</v>
      </c>
      <c r="O118">
        <v>24</v>
      </c>
      <c r="P118">
        <v>34</v>
      </c>
      <c r="Q118">
        <v>33</v>
      </c>
      <c r="R118">
        <v>47</v>
      </c>
      <c r="S118">
        <v>19</v>
      </c>
      <c r="T118">
        <v>35</v>
      </c>
      <c r="U118">
        <f t="shared" ref="U118:U119" si="325">U117</f>
        <v>10</v>
      </c>
      <c r="V118">
        <v>17</v>
      </c>
      <c r="W118">
        <f t="shared" ref="W118:W119" si="326">W117</f>
        <v>2</v>
      </c>
      <c r="X118">
        <v>12</v>
      </c>
      <c r="Y118">
        <f t="shared" ref="Y118:Y119" si="327">Y117</f>
        <v>0</v>
      </c>
      <c r="Z118">
        <v>25</v>
      </c>
      <c r="AA118">
        <v>30</v>
      </c>
      <c r="AB118">
        <v>59</v>
      </c>
      <c r="AC118">
        <v>79</v>
      </c>
      <c r="AD118">
        <v>59</v>
      </c>
      <c r="AE118">
        <v>59</v>
      </c>
      <c r="AF118">
        <v>59</v>
      </c>
      <c r="AG118">
        <v>79</v>
      </c>
      <c r="AH118">
        <v>79</v>
      </c>
      <c r="AI118">
        <v>49</v>
      </c>
      <c r="AJ118">
        <v>4</v>
      </c>
      <c r="AK118">
        <v>15</v>
      </c>
      <c r="AL118">
        <v>25</v>
      </c>
      <c r="AM118">
        <v>-1</v>
      </c>
      <c r="AN118">
        <v>1</v>
      </c>
      <c r="AO118">
        <v>1</v>
      </c>
      <c r="AP118">
        <v>1</v>
      </c>
      <c r="AQ118">
        <v>0</v>
      </c>
      <c r="AR118">
        <f t="shared" si="158"/>
        <v>3</v>
      </c>
      <c r="AS118">
        <f>IF(AND(IFERROR(VLOOKUP(AJ118,Equip!$A:$N,13,FALSE),0)&gt;=5,IFERROR(VLOOKUP(AJ118,Equip!$A:$N,13,FALSE),0)&lt;=9),INT(VLOOKUP(AJ118,Equip!$A:$N,6,FALSE)*SQRT(AN118)),0)</f>
        <v>0</v>
      </c>
      <c r="AT118">
        <f>IF(AND(IFERROR(VLOOKUP(AK118,Equip!$A:$N,13,FALSE),0)&gt;=5,IFERROR(VLOOKUP(AK118,Equip!$A:$N,13,FALSE),0)&lt;=9),INT(VLOOKUP(AK118,Equip!$A:$N,6,FALSE)*SQRT(AO118)),0)</f>
        <v>0</v>
      </c>
      <c r="AU118">
        <f>IF(AND(IFERROR(VLOOKUP(AL118,Equip!$A:$N,13,FALSE),0)&gt;=5,IFERROR(VLOOKUP(AL118,Equip!$A:$N,13,FALSE),0)&lt;=9),INT(VLOOKUP(AL118,Equip!$A:$N,6,FALSE)*SQRT(AP118)),0)</f>
        <v>0</v>
      </c>
      <c r="AV118">
        <f>IF(AND(IFERROR(VLOOKUP(AM118,Equip!$A:$N,13,FALSE),0)&gt;=5,IFERROR(VLOOKUP(AM118,Equip!$A:$N,13,FALSE),0)&lt;=9),INT(VLOOKUP(AM118,Equip!$A:$N,6,FALSE)*SQRT(AQ118)),0)</f>
        <v>0</v>
      </c>
      <c r="AW118">
        <f t="shared" si="147"/>
        <v>0</v>
      </c>
      <c r="AX118">
        <f t="shared" si="148"/>
        <v>507</v>
      </c>
    </row>
    <row r="119" spans="1:50">
      <c r="A119">
        <v>47</v>
      </c>
      <c r="B119" t="s">
        <v>781</v>
      </c>
      <c r="C119" t="s">
        <v>781</v>
      </c>
      <c r="D119">
        <v>2</v>
      </c>
      <c r="E119">
        <f t="shared" si="319"/>
        <v>1627</v>
      </c>
      <c r="F119">
        <f t="shared" si="320"/>
        <v>913</v>
      </c>
      <c r="G119">
        <f t="shared" si="321"/>
        <v>47</v>
      </c>
      <c r="H119">
        <f t="shared" si="322"/>
        <v>1</v>
      </c>
      <c r="I119">
        <f t="shared" si="323"/>
        <v>1</v>
      </c>
      <c r="J119">
        <f t="shared" si="324"/>
        <v>6</v>
      </c>
      <c r="K119">
        <v>2</v>
      </c>
      <c r="L119">
        <v>2</v>
      </c>
      <c r="M119">
        <v>51</v>
      </c>
      <c r="N119">
        <v>51</v>
      </c>
      <c r="O119">
        <v>27</v>
      </c>
      <c r="P119">
        <v>39</v>
      </c>
      <c r="Q119">
        <v>38</v>
      </c>
      <c r="R119">
        <v>41</v>
      </c>
      <c r="S119">
        <v>18</v>
      </c>
      <c r="T119">
        <v>35</v>
      </c>
      <c r="U119">
        <f t="shared" si="325"/>
        <v>10</v>
      </c>
      <c r="V119">
        <v>17</v>
      </c>
      <c r="W119">
        <f t="shared" si="326"/>
        <v>2</v>
      </c>
      <c r="X119">
        <v>13</v>
      </c>
      <c r="Y119">
        <f t="shared" si="327"/>
        <v>0</v>
      </c>
      <c r="Z119">
        <v>25</v>
      </c>
      <c r="AA119">
        <v>35</v>
      </c>
      <c r="AB119">
        <v>72</v>
      </c>
      <c r="AC119">
        <v>98</v>
      </c>
      <c r="AD119">
        <v>68</v>
      </c>
      <c r="AE119">
        <v>69</v>
      </c>
      <c r="AF119">
        <v>79</v>
      </c>
      <c r="AG119">
        <v>80</v>
      </c>
      <c r="AH119">
        <v>80</v>
      </c>
      <c r="AI119">
        <v>54</v>
      </c>
      <c r="AJ119">
        <v>74</v>
      </c>
      <c r="AK119">
        <v>15</v>
      </c>
      <c r="AL119">
        <v>15</v>
      </c>
      <c r="AM119">
        <v>-1</v>
      </c>
      <c r="AN119">
        <v>1</v>
      </c>
      <c r="AO119">
        <v>1</v>
      </c>
      <c r="AP119">
        <v>1</v>
      </c>
      <c r="AQ119">
        <v>0</v>
      </c>
      <c r="AR119">
        <f t="shared" si="158"/>
        <v>3</v>
      </c>
      <c r="AS119">
        <f>IF(AND(IFERROR(VLOOKUP(AJ119,Equip!$A:$N,13,FALSE),0)&gt;=5,IFERROR(VLOOKUP(AJ119,Equip!$A:$N,13,FALSE),0)&lt;=9),INT(VLOOKUP(AJ119,Equip!$A:$N,6,FALSE)*SQRT(AN119)),0)</f>
        <v>0</v>
      </c>
      <c r="AT119">
        <f>IF(AND(IFERROR(VLOOKUP(AK119,Equip!$A:$N,13,FALSE),0)&gt;=5,IFERROR(VLOOKUP(AK119,Equip!$A:$N,13,FALSE),0)&lt;=9),INT(VLOOKUP(AK119,Equip!$A:$N,6,FALSE)*SQRT(AO119)),0)</f>
        <v>0</v>
      </c>
      <c r="AU119">
        <f>IF(AND(IFERROR(VLOOKUP(AL119,Equip!$A:$N,13,FALSE),0)&gt;=5,IFERROR(VLOOKUP(AL119,Equip!$A:$N,13,FALSE),0)&lt;=9),INT(VLOOKUP(AL119,Equip!$A:$N,6,FALSE)*SQRT(AP119)),0)</f>
        <v>0</v>
      </c>
      <c r="AV119">
        <f>IF(AND(IFERROR(VLOOKUP(AM119,Equip!$A:$N,13,FALSE),0)&gt;=5,IFERROR(VLOOKUP(AM119,Equip!$A:$N,13,FALSE),0)&lt;=9),INT(VLOOKUP(AM119,Equip!$A:$N,6,FALSE)*SQRT(AQ119)),0)</f>
        <v>0</v>
      </c>
      <c r="AW119">
        <f t="shared" si="147"/>
        <v>0</v>
      </c>
      <c r="AX119">
        <f t="shared" si="148"/>
        <v>572</v>
      </c>
    </row>
    <row r="120" spans="1:50">
      <c r="A120">
        <v>48</v>
      </c>
      <c r="B120" t="s">
        <v>782</v>
      </c>
      <c r="C120" t="s">
        <v>782</v>
      </c>
      <c r="D120">
        <v>0</v>
      </c>
      <c r="E120">
        <v>1627</v>
      </c>
      <c r="F120">
        <v>913</v>
      </c>
      <c r="G120">
        <v>48</v>
      </c>
      <c r="H120">
        <v>1</v>
      </c>
      <c r="I120">
        <v>1</v>
      </c>
      <c r="J120">
        <v>3</v>
      </c>
      <c r="K120">
        <v>2</v>
      </c>
      <c r="L120">
        <v>2</v>
      </c>
      <c r="M120">
        <v>26</v>
      </c>
      <c r="N120">
        <v>26</v>
      </c>
      <c r="O120">
        <v>14</v>
      </c>
      <c r="P120">
        <v>11</v>
      </c>
      <c r="Q120">
        <v>24</v>
      </c>
      <c r="R120">
        <v>38</v>
      </c>
      <c r="S120">
        <v>13</v>
      </c>
      <c r="T120">
        <v>24</v>
      </c>
      <c r="U120">
        <v>10</v>
      </c>
      <c r="V120">
        <v>8</v>
      </c>
      <c r="W120">
        <v>2</v>
      </c>
      <c r="X120">
        <v>10</v>
      </c>
      <c r="Y120">
        <v>0</v>
      </c>
      <c r="Z120">
        <v>25</v>
      </c>
      <c r="AA120">
        <v>25</v>
      </c>
      <c r="AB120">
        <v>39</v>
      </c>
      <c r="AC120">
        <v>79</v>
      </c>
      <c r="AD120">
        <v>49</v>
      </c>
      <c r="AE120">
        <v>29</v>
      </c>
      <c r="AF120">
        <v>49</v>
      </c>
      <c r="AG120">
        <v>69</v>
      </c>
      <c r="AH120">
        <v>69</v>
      </c>
      <c r="AI120">
        <v>39</v>
      </c>
      <c r="AJ120">
        <v>4</v>
      </c>
      <c r="AK120">
        <v>0</v>
      </c>
      <c r="AL120">
        <v>-1</v>
      </c>
      <c r="AM120">
        <v>-1</v>
      </c>
      <c r="AN120">
        <v>1</v>
      </c>
      <c r="AO120">
        <v>1</v>
      </c>
      <c r="AP120">
        <v>0</v>
      </c>
      <c r="AQ120">
        <v>0</v>
      </c>
      <c r="AR120">
        <f t="shared" si="158"/>
        <v>2</v>
      </c>
      <c r="AS120">
        <f>IF(AND(IFERROR(VLOOKUP(AJ120,Equip!$A:$N,13,FALSE),0)&gt;=5,IFERROR(VLOOKUP(AJ120,Equip!$A:$N,13,FALSE),0)&lt;=9),INT(VLOOKUP(AJ120,Equip!$A:$N,6,FALSE)*SQRT(AN120)),0)</f>
        <v>0</v>
      </c>
      <c r="AT120">
        <f>IF(AND(IFERROR(VLOOKUP(AK120,Equip!$A:$N,13,FALSE),0)&gt;=5,IFERROR(VLOOKUP(AK120,Equip!$A:$N,13,FALSE),0)&lt;=9),INT(VLOOKUP(AK120,Equip!$A:$N,6,FALSE)*SQRT(AO120)),0)</f>
        <v>0</v>
      </c>
      <c r="AU120">
        <f>IF(AND(IFERROR(VLOOKUP(AL120,Equip!$A:$N,13,FALSE),0)&gt;=5,IFERROR(VLOOKUP(AL120,Equip!$A:$N,13,FALSE),0)&lt;=9),INT(VLOOKUP(AL120,Equip!$A:$N,6,FALSE)*SQRT(AP120)),0)</f>
        <v>0</v>
      </c>
      <c r="AV120">
        <f>IF(AND(IFERROR(VLOOKUP(AM120,Equip!$A:$N,13,FALSE),0)&gt;=5,IFERROR(VLOOKUP(AM120,Equip!$A:$N,13,FALSE),0)&lt;=9),INT(VLOOKUP(AM120,Equip!$A:$N,6,FALSE)*SQRT(AQ120)),0)</f>
        <v>0</v>
      </c>
      <c r="AW120">
        <f t="shared" si="147"/>
        <v>0</v>
      </c>
      <c r="AX120">
        <f t="shared" si="148"/>
        <v>399</v>
      </c>
    </row>
    <row r="121" spans="1:50">
      <c r="A121">
        <v>48</v>
      </c>
      <c r="B121" t="s">
        <v>782</v>
      </c>
      <c r="C121" t="s">
        <v>782</v>
      </c>
      <c r="D121">
        <v>1</v>
      </c>
      <c r="E121">
        <f t="shared" ref="E121:E122" si="328">E120</f>
        <v>1627</v>
      </c>
      <c r="F121">
        <f t="shared" ref="F121:F122" si="329">F120</f>
        <v>913</v>
      </c>
      <c r="G121">
        <f t="shared" ref="G121:G122" si="330">G120</f>
        <v>48</v>
      </c>
      <c r="H121">
        <f t="shared" ref="H121:H122" si="331">H120</f>
        <v>1</v>
      </c>
      <c r="I121">
        <f t="shared" ref="I121:I122" si="332">I120</f>
        <v>1</v>
      </c>
      <c r="J121">
        <f t="shared" ref="J121:J122" si="333">J120</f>
        <v>3</v>
      </c>
      <c r="K121">
        <v>2</v>
      </c>
      <c r="L121">
        <v>2</v>
      </c>
      <c r="M121">
        <v>44</v>
      </c>
      <c r="N121">
        <v>44</v>
      </c>
      <c r="O121">
        <v>24</v>
      </c>
      <c r="P121">
        <v>34</v>
      </c>
      <c r="Q121">
        <v>29</v>
      </c>
      <c r="R121">
        <v>47</v>
      </c>
      <c r="S121">
        <v>19</v>
      </c>
      <c r="T121">
        <v>41</v>
      </c>
      <c r="U121">
        <f t="shared" ref="U121:U122" si="334">U120</f>
        <v>10</v>
      </c>
      <c r="V121">
        <v>17</v>
      </c>
      <c r="W121">
        <f t="shared" ref="W121:W122" si="335">W120</f>
        <v>2</v>
      </c>
      <c r="X121">
        <v>12</v>
      </c>
      <c r="Y121">
        <f t="shared" ref="Y121:Y122" si="336">Y120</f>
        <v>0</v>
      </c>
      <c r="Z121">
        <v>25</v>
      </c>
      <c r="AA121">
        <v>30</v>
      </c>
      <c r="AB121">
        <v>59</v>
      </c>
      <c r="AC121">
        <v>79</v>
      </c>
      <c r="AD121">
        <v>59</v>
      </c>
      <c r="AE121">
        <v>59</v>
      </c>
      <c r="AF121">
        <v>59</v>
      </c>
      <c r="AG121">
        <v>79</v>
      </c>
      <c r="AH121">
        <v>79</v>
      </c>
      <c r="AI121">
        <v>49</v>
      </c>
      <c r="AJ121">
        <v>4</v>
      </c>
      <c r="AK121">
        <v>15</v>
      </c>
      <c r="AL121">
        <v>25</v>
      </c>
      <c r="AM121">
        <v>-1</v>
      </c>
      <c r="AN121">
        <v>1</v>
      </c>
      <c r="AO121">
        <v>1</v>
      </c>
      <c r="AP121">
        <v>1</v>
      </c>
      <c r="AQ121">
        <v>0</v>
      </c>
      <c r="AR121">
        <f t="shared" si="158"/>
        <v>3</v>
      </c>
      <c r="AS121">
        <f>IF(AND(IFERROR(VLOOKUP(AJ121,Equip!$A:$N,13,FALSE),0)&gt;=5,IFERROR(VLOOKUP(AJ121,Equip!$A:$N,13,FALSE),0)&lt;=9),INT(VLOOKUP(AJ121,Equip!$A:$N,6,FALSE)*SQRT(AN121)),0)</f>
        <v>0</v>
      </c>
      <c r="AT121">
        <f>IF(AND(IFERROR(VLOOKUP(AK121,Equip!$A:$N,13,FALSE),0)&gt;=5,IFERROR(VLOOKUP(AK121,Equip!$A:$N,13,FALSE),0)&lt;=9),INT(VLOOKUP(AK121,Equip!$A:$N,6,FALSE)*SQRT(AO121)),0)</f>
        <v>0</v>
      </c>
      <c r="AU121">
        <f>IF(AND(IFERROR(VLOOKUP(AL121,Equip!$A:$N,13,FALSE),0)&gt;=5,IFERROR(VLOOKUP(AL121,Equip!$A:$N,13,FALSE),0)&lt;=9),INT(VLOOKUP(AL121,Equip!$A:$N,6,FALSE)*SQRT(AP121)),0)</f>
        <v>0</v>
      </c>
      <c r="AV121">
        <f>IF(AND(IFERROR(VLOOKUP(AM121,Equip!$A:$N,13,FALSE),0)&gt;=5,IFERROR(VLOOKUP(AM121,Equip!$A:$N,13,FALSE),0)&lt;=9),INT(VLOOKUP(AM121,Equip!$A:$N,6,FALSE)*SQRT(AQ121)),0)</f>
        <v>0</v>
      </c>
      <c r="AW121">
        <f t="shared" si="147"/>
        <v>0</v>
      </c>
      <c r="AX121">
        <f t="shared" si="148"/>
        <v>507</v>
      </c>
    </row>
    <row r="122" spans="1:50">
      <c r="A122">
        <v>48</v>
      </c>
      <c r="B122" t="s">
        <v>782</v>
      </c>
      <c r="C122" t="s">
        <v>782</v>
      </c>
      <c r="D122">
        <v>2</v>
      </c>
      <c r="E122">
        <f t="shared" si="328"/>
        <v>1627</v>
      </c>
      <c r="F122">
        <f t="shared" si="329"/>
        <v>913</v>
      </c>
      <c r="G122">
        <f t="shared" si="330"/>
        <v>48</v>
      </c>
      <c r="H122">
        <f t="shared" si="331"/>
        <v>1</v>
      </c>
      <c r="I122">
        <f t="shared" si="332"/>
        <v>1</v>
      </c>
      <c r="J122">
        <f t="shared" si="333"/>
        <v>3</v>
      </c>
      <c r="K122">
        <v>2</v>
      </c>
      <c r="L122">
        <v>2</v>
      </c>
      <c r="M122">
        <v>48</v>
      </c>
      <c r="N122">
        <v>48</v>
      </c>
      <c r="O122">
        <v>40</v>
      </c>
      <c r="P122">
        <v>34</v>
      </c>
      <c r="Q122">
        <v>50</v>
      </c>
      <c r="R122">
        <v>61</v>
      </c>
      <c r="S122">
        <v>34</v>
      </c>
      <c r="T122">
        <v>65</v>
      </c>
      <c r="U122">
        <f t="shared" si="334"/>
        <v>10</v>
      </c>
      <c r="V122">
        <v>37</v>
      </c>
      <c r="W122">
        <f t="shared" si="335"/>
        <v>2</v>
      </c>
      <c r="X122">
        <v>13</v>
      </c>
      <c r="Y122">
        <f t="shared" si="336"/>
        <v>0</v>
      </c>
      <c r="Z122">
        <v>25</v>
      </c>
      <c r="AA122">
        <v>35</v>
      </c>
      <c r="AB122">
        <v>68</v>
      </c>
      <c r="AC122">
        <v>84</v>
      </c>
      <c r="AD122">
        <v>75</v>
      </c>
      <c r="AE122">
        <v>68</v>
      </c>
      <c r="AF122">
        <v>84</v>
      </c>
      <c r="AG122">
        <v>82</v>
      </c>
      <c r="AH122">
        <v>85</v>
      </c>
      <c r="AI122">
        <v>54</v>
      </c>
      <c r="AJ122">
        <v>10</v>
      </c>
      <c r="AK122">
        <v>15</v>
      </c>
      <c r="AL122">
        <v>30</v>
      </c>
      <c r="AM122">
        <v>-1</v>
      </c>
      <c r="AN122">
        <v>1</v>
      </c>
      <c r="AO122">
        <v>1</v>
      </c>
      <c r="AP122">
        <v>1</v>
      </c>
      <c r="AQ122">
        <v>0</v>
      </c>
      <c r="AR122">
        <f t="shared" si="158"/>
        <v>3</v>
      </c>
      <c r="AS122">
        <f>IF(AND(IFERROR(VLOOKUP(AJ122,Equip!$A:$N,13,FALSE),0)&gt;=5,IFERROR(VLOOKUP(AJ122,Equip!$A:$N,13,FALSE),0)&lt;=9),INT(VLOOKUP(AJ122,Equip!$A:$N,6,FALSE)*SQRT(AN122)),0)</f>
        <v>0</v>
      </c>
      <c r="AT122">
        <f>IF(AND(IFERROR(VLOOKUP(AK122,Equip!$A:$N,13,FALSE),0)&gt;=5,IFERROR(VLOOKUP(AK122,Equip!$A:$N,13,FALSE),0)&lt;=9),INT(VLOOKUP(AK122,Equip!$A:$N,6,FALSE)*SQRT(AO122)),0)</f>
        <v>0</v>
      </c>
      <c r="AU122">
        <f>IF(AND(IFERROR(VLOOKUP(AL122,Equip!$A:$N,13,FALSE),0)&gt;=5,IFERROR(VLOOKUP(AL122,Equip!$A:$N,13,FALSE),0)&lt;=9),INT(VLOOKUP(AL122,Equip!$A:$N,6,FALSE)*SQRT(AP122)),0)</f>
        <v>0</v>
      </c>
      <c r="AV122">
        <f>IF(AND(IFERROR(VLOOKUP(AM122,Equip!$A:$N,13,FALSE),0)&gt;=5,IFERROR(VLOOKUP(AM122,Equip!$A:$N,13,FALSE),0)&lt;=9),INT(VLOOKUP(AM122,Equip!$A:$N,6,FALSE)*SQRT(AQ122)),0)</f>
        <v>0</v>
      </c>
      <c r="AW122">
        <f t="shared" si="147"/>
        <v>0</v>
      </c>
      <c r="AX122">
        <f t="shared" si="148"/>
        <v>564</v>
      </c>
    </row>
    <row r="123" spans="1:50">
      <c r="A123">
        <v>49</v>
      </c>
      <c r="B123" t="s">
        <v>783</v>
      </c>
      <c r="C123" t="s">
        <v>783</v>
      </c>
      <c r="D123">
        <v>0</v>
      </c>
      <c r="E123">
        <v>1970</v>
      </c>
      <c r="F123">
        <v>1085</v>
      </c>
      <c r="G123">
        <v>49</v>
      </c>
      <c r="H123">
        <v>2</v>
      </c>
      <c r="I123">
        <v>1</v>
      </c>
      <c r="J123">
        <v>0</v>
      </c>
      <c r="K123">
        <v>10</v>
      </c>
      <c r="L123">
        <v>4</v>
      </c>
      <c r="M123">
        <v>40</v>
      </c>
      <c r="N123">
        <v>40</v>
      </c>
      <c r="O123">
        <v>9</v>
      </c>
      <c r="P123">
        <v>18</v>
      </c>
      <c r="Q123">
        <v>0</v>
      </c>
      <c r="R123">
        <v>20</v>
      </c>
      <c r="S123">
        <v>14</v>
      </c>
      <c r="T123">
        <v>0</v>
      </c>
      <c r="U123">
        <v>10</v>
      </c>
      <c r="V123">
        <v>34</v>
      </c>
      <c r="W123">
        <v>1</v>
      </c>
      <c r="X123">
        <v>10</v>
      </c>
      <c r="Y123">
        <v>0</v>
      </c>
      <c r="Z123">
        <v>35</v>
      </c>
      <c r="AA123">
        <v>35</v>
      </c>
      <c r="AB123">
        <v>29</v>
      </c>
      <c r="AC123">
        <v>0</v>
      </c>
      <c r="AD123">
        <v>29</v>
      </c>
      <c r="AE123">
        <v>39</v>
      </c>
      <c r="AF123">
        <v>49</v>
      </c>
      <c r="AG123">
        <v>39</v>
      </c>
      <c r="AH123">
        <v>0</v>
      </c>
      <c r="AI123">
        <v>69</v>
      </c>
      <c r="AJ123">
        <v>10</v>
      </c>
      <c r="AK123">
        <v>25</v>
      </c>
      <c r="AL123">
        <v>-1</v>
      </c>
      <c r="AM123">
        <v>-1</v>
      </c>
      <c r="AN123">
        <v>12</v>
      </c>
      <c r="AO123">
        <v>12</v>
      </c>
      <c r="AP123">
        <v>0</v>
      </c>
      <c r="AQ123">
        <v>0</v>
      </c>
      <c r="AR123">
        <f t="shared" si="158"/>
        <v>24</v>
      </c>
      <c r="AS123">
        <f>IF(AND(IFERROR(VLOOKUP(AJ123,Equip!$A:$N,13,FALSE),0)&gt;=5,IFERROR(VLOOKUP(AJ123,Equip!$A:$N,13,FALSE),0)&lt;=9),INT(VLOOKUP(AJ123,Equip!$A:$N,6,FALSE)*SQRT(AN123)),0)</f>
        <v>0</v>
      </c>
      <c r="AT123">
        <f>IF(AND(IFERROR(VLOOKUP(AK123,Equip!$A:$N,13,FALSE),0)&gt;=5,IFERROR(VLOOKUP(AK123,Equip!$A:$N,13,FALSE),0)&lt;=9),INT(VLOOKUP(AK123,Equip!$A:$N,6,FALSE)*SQRT(AO123)),0)</f>
        <v>0</v>
      </c>
      <c r="AU123">
        <f>IF(AND(IFERROR(VLOOKUP(AL123,Equip!$A:$N,13,FALSE),0)&gt;=5,IFERROR(VLOOKUP(AL123,Equip!$A:$N,13,FALSE),0)&lt;=9),INT(VLOOKUP(AL123,Equip!$A:$N,6,FALSE)*SQRT(AP123)),0)</f>
        <v>0</v>
      </c>
      <c r="AV123">
        <f>IF(AND(IFERROR(VLOOKUP(AM123,Equip!$A:$N,13,FALSE),0)&gt;=5,IFERROR(VLOOKUP(AM123,Equip!$A:$N,13,FALSE),0)&lt;=9),INT(VLOOKUP(AM123,Equip!$A:$N,6,FALSE)*SQRT(AQ123)),0)</f>
        <v>0</v>
      </c>
      <c r="AW123">
        <f t="shared" si="147"/>
        <v>0</v>
      </c>
      <c r="AX123">
        <f t="shared" si="148"/>
        <v>245</v>
      </c>
    </row>
    <row r="124" spans="1:50">
      <c r="A124">
        <v>49</v>
      </c>
      <c r="B124" t="s">
        <v>783</v>
      </c>
      <c r="C124" t="s">
        <v>783</v>
      </c>
      <c r="D124">
        <v>1</v>
      </c>
      <c r="E124">
        <f t="shared" ref="E124:E128" si="337">E123</f>
        <v>1970</v>
      </c>
      <c r="F124">
        <f t="shared" ref="F124:F128" si="338">F123</f>
        <v>1085</v>
      </c>
      <c r="G124">
        <f t="shared" ref="G124:G128" si="339">G123</f>
        <v>49</v>
      </c>
      <c r="H124">
        <f t="shared" ref="H124:H128" si="340">H123</f>
        <v>2</v>
      </c>
      <c r="I124">
        <f t="shared" ref="I124:I128" si="341">I123</f>
        <v>1</v>
      </c>
      <c r="J124">
        <f t="shared" ref="J124:J128" si="342">J123</f>
        <v>0</v>
      </c>
      <c r="K124">
        <v>10</v>
      </c>
      <c r="L124">
        <v>4</v>
      </c>
      <c r="M124">
        <v>41</v>
      </c>
      <c r="N124">
        <v>41</v>
      </c>
      <c r="O124">
        <v>9</v>
      </c>
      <c r="P124">
        <v>20</v>
      </c>
      <c r="Q124">
        <v>0</v>
      </c>
      <c r="R124">
        <v>25</v>
      </c>
      <c r="S124">
        <v>15</v>
      </c>
      <c r="T124">
        <v>0</v>
      </c>
      <c r="U124">
        <f t="shared" ref="U124:U128" si="343">U123</f>
        <v>10</v>
      </c>
      <c r="V124">
        <v>36</v>
      </c>
      <c r="W124">
        <f t="shared" ref="W124:W128" si="344">W123</f>
        <v>1</v>
      </c>
      <c r="X124">
        <v>10</v>
      </c>
      <c r="Y124">
        <f t="shared" ref="Y124:Y128" si="345">Y123</f>
        <v>0</v>
      </c>
      <c r="Z124">
        <v>35</v>
      </c>
      <c r="AA124">
        <v>40</v>
      </c>
      <c r="AB124">
        <v>29</v>
      </c>
      <c r="AC124">
        <v>29</v>
      </c>
      <c r="AD124">
        <v>29</v>
      </c>
      <c r="AE124">
        <v>39</v>
      </c>
      <c r="AF124">
        <v>49</v>
      </c>
      <c r="AG124">
        <v>44</v>
      </c>
      <c r="AH124">
        <v>0</v>
      </c>
      <c r="AI124">
        <v>69</v>
      </c>
      <c r="AJ124">
        <v>25</v>
      </c>
      <c r="AK124">
        <v>26</v>
      </c>
      <c r="AL124">
        <v>2</v>
      </c>
      <c r="AM124">
        <v>-1</v>
      </c>
      <c r="AN124">
        <v>12</v>
      </c>
      <c r="AO124">
        <v>6</v>
      </c>
      <c r="AP124">
        <v>6</v>
      </c>
      <c r="AQ124">
        <v>0</v>
      </c>
      <c r="AR124">
        <f t="shared" si="158"/>
        <v>24</v>
      </c>
      <c r="AS124">
        <f>IF(AND(IFERROR(VLOOKUP(AJ124,Equip!$A:$N,13,FALSE),0)&gt;=5,IFERROR(VLOOKUP(AJ124,Equip!$A:$N,13,FALSE),0)&lt;=9),INT(VLOOKUP(AJ124,Equip!$A:$N,6,FALSE)*SQRT(AN124)),0)</f>
        <v>0</v>
      </c>
      <c r="AT124">
        <f>IF(AND(IFERROR(VLOOKUP(AK124,Equip!$A:$N,13,FALSE),0)&gt;=5,IFERROR(VLOOKUP(AK124,Equip!$A:$N,13,FALSE),0)&lt;=9),INT(VLOOKUP(AK124,Equip!$A:$N,6,FALSE)*SQRT(AO124)),0)</f>
        <v>0</v>
      </c>
      <c r="AU124">
        <f>IF(AND(IFERROR(VLOOKUP(AL124,Equip!$A:$N,13,FALSE),0)&gt;=5,IFERROR(VLOOKUP(AL124,Equip!$A:$N,13,FALSE),0)&lt;=9),INT(VLOOKUP(AL124,Equip!$A:$N,6,FALSE)*SQRT(AP124)),0)</f>
        <v>0</v>
      </c>
      <c r="AV124">
        <f>IF(AND(IFERROR(VLOOKUP(AM124,Equip!$A:$N,13,FALSE),0)&gt;=5,IFERROR(VLOOKUP(AM124,Equip!$A:$N,13,FALSE),0)&lt;=9),INT(VLOOKUP(AM124,Equip!$A:$N,6,FALSE)*SQRT(AQ124)),0)</f>
        <v>0</v>
      </c>
      <c r="AW124">
        <f t="shared" si="147"/>
        <v>0</v>
      </c>
      <c r="AX124">
        <f t="shared" si="148"/>
        <v>280</v>
      </c>
    </row>
    <row r="125" spans="1:50">
      <c r="A125">
        <v>49</v>
      </c>
      <c r="B125" t="s">
        <v>783</v>
      </c>
      <c r="C125" t="s">
        <v>783</v>
      </c>
      <c r="D125">
        <v>2</v>
      </c>
      <c r="E125">
        <f t="shared" si="337"/>
        <v>1970</v>
      </c>
      <c r="F125">
        <f t="shared" si="338"/>
        <v>1085</v>
      </c>
      <c r="G125">
        <f t="shared" si="339"/>
        <v>49</v>
      </c>
      <c r="H125">
        <f t="shared" si="340"/>
        <v>2</v>
      </c>
      <c r="I125">
        <f t="shared" si="341"/>
        <v>1</v>
      </c>
      <c r="J125">
        <f t="shared" si="342"/>
        <v>0</v>
      </c>
      <c r="K125">
        <v>10</v>
      </c>
      <c r="L125">
        <v>4</v>
      </c>
      <c r="M125">
        <v>42</v>
      </c>
      <c r="N125">
        <v>42</v>
      </c>
      <c r="O125">
        <v>9</v>
      </c>
      <c r="P125">
        <v>21</v>
      </c>
      <c r="Q125">
        <v>15</v>
      </c>
      <c r="R125">
        <v>27</v>
      </c>
      <c r="S125">
        <v>17</v>
      </c>
      <c r="T125">
        <v>0</v>
      </c>
      <c r="U125">
        <f t="shared" si="343"/>
        <v>10</v>
      </c>
      <c r="V125">
        <v>30</v>
      </c>
      <c r="W125">
        <f t="shared" si="344"/>
        <v>1</v>
      </c>
      <c r="X125">
        <v>10</v>
      </c>
      <c r="Y125">
        <f t="shared" si="345"/>
        <v>0</v>
      </c>
      <c r="Z125">
        <v>35</v>
      </c>
      <c r="AA125">
        <v>45</v>
      </c>
      <c r="AB125">
        <v>29</v>
      </c>
      <c r="AC125">
        <v>72</v>
      </c>
      <c r="AD125">
        <v>39</v>
      </c>
      <c r="AE125">
        <v>39</v>
      </c>
      <c r="AF125">
        <v>59</v>
      </c>
      <c r="AG125">
        <v>49</v>
      </c>
      <c r="AH125">
        <v>0</v>
      </c>
      <c r="AI125">
        <v>69</v>
      </c>
      <c r="AJ125">
        <v>25</v>
      </c>
      <c r="AK125">
        <v>41</v>
      </c>
      <c r="AL125">
        <v>41</v>
      </c>
      <c r="AM125">
        <v>-1</v>
      </c>
      <c r="AN125">
        <v>12</v>
      </c>
      <c r="AO125">
        <v>6</v>
      </c>
      <c r="AP125">
        <v>6</v>
      </c>
      <c r="AQ125">
        <v>0</v>
      </c>
      <c r="AR125">
        <f t="shared" si="158"/>
        <v>24</v>
      </c>
      <c r="AS125">
        <f>IF(AND(IFERROR(VLOOKUP(AJ125,Equip!$A:$N,13,FALSE),0)&gt;=5,IFERROR(VLOOKUP(AJ125,Equip!$A:$N,13,FALSE),0)&lt;=9),INT(VLOOKUP(AJ125,Equip!$A:$N,6,FALSE)*SQRT(AN125)),0)</f>
        <v>0</v>
      </c>
      <c r="AT125">
        <f>IF(AND(IFERROR(VLOOKUP(AK125,Equip!$A:$N,13,FALSE),0)&gt;=5,IFERROR(VLOOKUP(AK125,Equip!$A:$N,13,FALSE),0)&lt;=9),INT(VLOOKUP(AK125,Equip!$A:$N,6,FALSE)*SQRT(AO125)),0)</f>
        <v>0</v>
      </c>
      <c r="AU125">
        <f>IF(AND(IFERROR(VLOOKUP(AL125,Equip!$A:$N,13,FALSE),0)&gt;=5,IFERROR(VLOOKUP(AL125,Equip!$A:$N,13,FALSE),0)&lt;=9),INT(VLOOKUP(AL125,Equip!$A:$N,6,FALSE)*SQRT(AP125)),0)</f>
        <v>0</v>
      </c>
      <c r="AV125">
        <f>IF(AND(IFERROR(VLOOKUP(AM125,Equip!$A:$N,13,FALSE),0)&gt;=5,IFERROR(VLOOKUP(AM125,Equip!$A:$N,13,FALSE),0)&lt;=9),INT(VLOOKUP(AM125,Equip!$A:$N,6,FALSE)*SQRT(AQ125)),0)</f>
        <v>0</v>
      </c>
      <c r="AW125">
        <f t="shared" si="147"/>
        <v>0</v>
      </c>
      <c r="AX125">
        <f t="shared" si="148"/>
        <v>339</v>
      </c>
    </row>
    <row r="126" spans="1:50">
      <c r="A126">
        <v>49</v>
      </c>
      <c r="B126" t="s">
        <v>783</v>
      </c>
      <c r="C126" t="s">
        <v>783</v>
      </c>
      <c r="D126">
        <v>3</v>
      </c>
      <c r="E126">
        <f t="shared" si="337"/>
        <v>1970</v>
      </c>
      <c r="F126">
        <f t="shared" si="338"/>
        <v>1085</v>
      </c>
      <c r="G126">
        <f t="shared" si="339"/>
        <v>49</v>
      </c>
      <c r="H126">
        <f t="shared" si="340"/>
        <v>2</v>
      </c>
      <c r="I126">
        <f t="shared" si="341"/>
        <v>1</v>
      </c>
      <c r="J126">
        <f t="shared" si="342"/>
        <v>0</v>
      </c>
      <c r="K126">
        <v>9</v>
      </c>
      <c r="L126">
        <v>4</v>
      </c>
      <c r="M126">
        <v>47</v>
      </c>
      <c r="N126">
        <v>47</v>
      </c>
      <c r="O126">
        <v>0</v>
      </c>
      <c r="P126">
        <v>25</v>
      </c>
      <c r="Q126">
        <v>0</v>
      </c>
      <c r="R126">
        <v>37</v>
      </c>
      <c r="S126">
        <v>20</v>
      </c>
      <c r="T126">
        <v>0</v>
      </c>
      <c r="U126">
        <f t="shared" si="343"/>
        <v>10</v>
      </c>
      <c r="V126">
        <v>36</v>
      </c>
      <c r="W126">
        <f t="shared" si="344"/>
        <v>1</v>
      </c>
      <c r="X126">
        <v>10</v>
      </c>
      <c r="Y126">
        <f t="shared" si="345"/>
        <v>0</v>
      </c>
      <c r="Z126">
        <v>40</v>
      </c>
      <c r="AA126">
        <v>40</v>
      </c>
      <c r="AB126">
        <v>19</v>
      </c>
      <c r="AC126">
        <v>0</v>
      </c>
      <c r="AD126">
        <v>49</v>
      </c>
      <c r="AE126">
        <v>39</v>
      </c>
      <c r="AF126">
        <v>59</v>
      </c>
      <c r="AG126">
        <v>67</v>
      </c>
      <c r="AH126">
        <v>0</v>
      </c>
      <c r="AI126">
        <v>69</v>
      </c>
      <c r="AJ126">
        <v>20</v>
      </c>
      <c r="AK126">
        <v>16</v>
      </c>
      <c r="AL126">
        <v>0</v>
      </c>
      <c r="AM126">
        <v>-1</v>
      </c>
      <c r="AN126">
        <v>21</v>
      </c>
      <c r="AO126">
        <v>9</v>
      </c>
      <c r="AP126">
        <v>6</v>
      </c>
      <c r="AQ126">
        <v>0</v>
      </c>
      <c r="AR126">
        <f t="shared" si="158"/>
        <v>36</v>
      </c>
      <c r="AS126">
        <f>IF(AND(IFERROR(VLOOKUP(AJ126,Equip!$A:$N,13,FALSE),0)&gt;=5,IFERROR(VLOOKUP(AJ126,Equip!$A:$N,13,FALSE),0)&lt;=9),INT(VLOOKUP(AJ126,Equip!$A:$N,6,FALSE)*SQRT(AN126)),0)</f>
        <v>0</v>
      </c>
      <c r="AT126">
        <f>IF(AND(IFERROR(VLOOKUP(AK126,Equip!$A:$N,13,FALSE),0)&gt;=5,IFERROR(VLOOKUP(AK126,Equip!$A:$N,13,FALSE),0)&lt;=9),INT(VLOOKUP(AK126,Equip!$A:$N,6,FALSE)*SQRT(AO126)),0)</f>
        <v>0</v>
      </c>
      <c r="AU126">
        <f>IF(AND(IFERROR(VLOOKUP(AL126,Equip!$A:$N,13,FALSE),0)&gt;=5,IFERROR(VLOOKUP(AL126,Equip!$A:$N,13,FALSE),0)&lt;=9),INT(VLOOKUP(AL126,Equip!$A:$N,6,FALSE)*SQRT(AP126)),0)</f>
        <v>0</v>
      </c>
      <c r="AV126">
        <f>IF(AND(IFERROR(VLOOKUP(AM126,Equip!$A:$N,13,FALSE),0)&gt;=5,IFERROR(VLOOKUP(AM126,Equip!$A:$N,13,FALSE),0)&lt;=9),INT(VLOOKUP(AM126,Equip!$A:$N,6,FALSE)*SQRT(AQ126)),0)</f>
        <v>0</v>
      </c>
      <c r="AW126">
        <f t="shared" si="147"/>
        <v>0</v>
      </c>
      <c r="AX126">
        <f t="shared" si="148"/>
        <v>290</v>
      </c>
    </row>
    <row r="127" spans="1:50">
      <c r="A127">
        <v>49</v>
      </c>
      <c r="B127" t="s">
        <v>783</v>
      </c>
      <c r="C127" t="s">
        <v>783</v>
      </c>
      <c r="D127">
        <v>4</v>
      </c>
      <c r="E127">
        <f t="shared" si="337"/>
        <v>1970</v>
      </c>
      <c r="F127">
        <f t="shared" si="338"/>
        <v>1085</v>
      </c>
      <c r="G127">
        <f t="shared" si="339"/>
        <v>49</v>
      </c>
      <c r="H127">
        <f t="shared" si="340"/>
        <v>2</v>
      </c>
      <c r="I127">
        <f t="shared" si="341"/>
        <v>1</v>
      </c>
      <c r="J127">
        <f t="shared" si="342"/>
        <v>0</v>
      </c>
      <c r="K127">
        <v>9</v>
      </c>
      <c r="L127">
        <v>4</v>
      </c>
      <c r="M127">
        <v>57</v>
      </c>
      <c r="N127">
        <v>57</v>
      </c>
      <c r="O127">
        <v>0</v>
      </c>
      <c r="P127">
        <v>32</v>
      </c>
      <c r="Q127">
        <v>0</v>
      </c>
      <c r="R127">
        <v>37</v>
      </c>
      <c r="S127">
        <v>27</v>
      </c>
      <c r="T127">
        <v>0</v>
      </c>
      <c r="U127">
        <f t="shared" si="343"/>
        <v>10</v>
      </c>
      <c r="V127">
        <v>42</v>
      </c>
      <c r="W127">
        <f t="shared" si="344"/>
        <v>1</v>
      </c>
      <c r="X127">
        <v>12</v>
      </c>
      <c r="Y127">
        <f t="shared" si="345"/>
        <v>0</v>
      </c>
      <c r="Z127">
        <v>45</v>
      </c>
      <c r="AA127">
        <v>40</v>
      </c>
      <c r="AB127">
        <v>34</v>
      </c>
      <c r="AC127">
        <v>0</v>
      </c>
      <c r="AD127">
        <v>69</v>
      </c>
      <c r="AE127">
        <v>64</v>
      </c>
      <c r="AF127">
        <v>59</v>
      </c>
      <c r="AG127">
        <v>69</v>
      </c>
      <c r="AH127">
        <v>0</v>
      </c>
      <c r="AI127">
        <v>79</v>
      </c>
      <c r="AJ127">
        <v>21</v>
      </c>
      <c r="AK127">
        <v>16</v>
      </c>
      <c r="AL127">
        <v>51</v>
      </c>
      <c r="AM127">
        <v>0</v>
      </c>
      <c r="AN127">
        <v>24</v>
      </c>
      <c r="AO127">
        <v>16</v>
      </c>
      <c r="AP127">
        <v>8</v>
      </c>
      <c r="AQ127">
        <v>8</v>
      </c>
      <c r="AR127">
        <f t="shared" si="158"/>
        <v>56</v>
      </c>
      <c r="AS127">
        <f>IF(AND(IFERROR(VLOOKUP(AJ127,Equip!$A:$N,13,FALSE),0)&gt;=5,IFERROR(VLOOKUP(AJ127,Equip!$A:$N,13,FALSE),0)&lt;=9),INT(VLOOKUP(AJ127,Equip!$A:$N,6,FALSE)*SQRT(AN127)),0)</f>
        <v>0</v>
      </c>
      <c r="AT127">
        <f>IF(AND(IFERROR(VLOOKUP(AK127,Equip!$A:$N,13,FALSE),0)&gt;=5,IFERROR(VLOOKUP(AK127,Equip!$A:$N,13,FALSE),0)&lt;=9),INT(VLOOKUP(AK127,Equip!$A:$N,6,FALSE)*SQRT(AO127)),0)</f>
        <v>0</v>
      </c>
      <c r="AU127">
        <f>IF(AND(IFERROR(VLOOKUP(AL127,Equip!$A:$N,13,FALSE),0)&gt;=5,IFERROR(VLOOKUP(AL127,Equip!$A:$N,13,FALSE),0)&lt;=9),INT(VLOOKUP(AL127,Equip!$A:$N,6,FALSE)*SQRT(AP127)),0)</f>
        <v>0</v>
      </c>
      <c r="AV127">
        <f>IF(AND(IFERROR(VLOOKUP(AM127,Equip!$A:$N,13,FALSE),0)&gt;=5,IFERROR(VLOOKUP(AM127,Equip!$A:$N,13,FALSE),0)&lt;=9),INT(VLOOKUP(AM127,Equip!$A:$N,6,FALSE)*SQRT(AQ127)),0)</f>
        <v>0</v>
      </c>
      <c r="AW127">
        <f t="shared" si="147"/>
        <v>0</v>
      </c>
      <c r="AX127">
        <f t="shared" si="148"/>
        <v>372</v>
      </c>
    </row>
    <row r="128" spans="1:50">
      <c r="A128">
        <v>49</v>
      </c>
      <c r="B128" t="s">
        <v>783</v>
      </c>
      <c r="C128" t="s">
        <v>783</v>
      </c>
      <c r="D128">
        <v>5</v>
      </c>
      <c r="E128">
        <f t="shared" si="337"/>
        <v>1970</v>
      </c>
      <c r="F128">
        <f t="shared" si="338"/>
        <v>1085</v>
      </c>
      <c r="G128">
        <f t="shared" si="339"/>
        <v>49</v>
      </c>
      <c r="H128">
        <f t="shared" si="340"/>
        <v>2</v>
      </c>
      <c r="I128">
        <f t="shared" si="341"/>
        <v>1</v>
      </c>
      <c r="J128">
        <f t="shared" si="342"/>
        <v>0</v>
      </c>
      <c r="K128">
        <v>9</v>
      </c>
      <c r="L128">
        <v>4</v>
      </c>
      <c r="M128">
        <v>58</v>
      </c>
      <c r="N128">
        <v>58</v>
      </c>
      <c r="O128">
        <v>0</v>
      </c>
      <c r="P128">
        <v>32</v>
      </c>
      <c r="Q128">
        <v>0</v>
      </c>
      <c r="R128">
        <v>38</v>
      </c>
      <c r="S128">
        <v>30</v>
      </c>
      <c r="T128">
        <v>0</v>
      </c>
      <c r="U128">
        <f t="shared" si="343"/>
        <v>10</v>
      </c>
      <c r="V128">
        <v>42</v>
      </c>
      <c r="W128">
        <f t="shared" si="344"/>
        <v>1</v>
      </c>
      <c r="X128">
        <v>13</v>
      </c>
      <c r="Y128">
        <f t="shared" si="345"/>
        <v>0</v>
      </c>
      <c r="Z128">
        <v>45</v>
      </c>
      <c r="AA128">
        <v>40</v>
      </c>
      <c r="AB128">
        <v>34</v>
      </c>
      <c r="AC128">
        <v>0</v>
      </c>
      <c r="AD128">
        <v>72</v>
      </c>
      <c r="AE128">
        <v>65</v>
      </c>
      <c r="AF128">
        <v>59</v>
      </c>
      <c r="AG128">
        <v>69</v>
      </c>
      <c r="AH128">
        <v>0</v>
      </c>
      <c r="AI128">
        <v>79</v>
      </c>
      <c r="AJ128">
        <v>21</v>
      </c>
      <c r="AK128">
        <v>39</v>
      </c>
      <c r="AL128">
        <v>51</v>
      </c>
      <c r="AM128">
        <v>0</v>
      </c>
      <c r="AN128">
        <v>24</v>
      </c>
      <c r="AO128">
        <v>16</v>
      </c>
      <c r="AP128">
        <v>11</v>
      </c>
      <c r="AQ128">
        <v>8</v>
      </c>
      <c r="AR128">
        <f t="shared" si="158"/>
        <v>59</v>
      </c>
      <c r="AS128">
        <f>IF(AND(IFERROR(VLOOKUP(AJ128,Equip!$A:$N,13,FALSE),0)&gt;=5,IFERROR(VLOOKUP(AJ128,Equip!$A:$N,13,FALSE),0)&lt;=9),INT(VLOOKUP(AJ128,Equip!$A:$N,6,FALSE)*SQRT(AN128)),0)</f>
        <v>0</v>
      </c>
      <c r="AT128">
        <f>IF(AND(IFERROR(VLOOKUP(AK128,Equip!$A:$N,13,FALSE),0)&gt;=5,IFERROR(VLOOKUP(AK128,Equip!$A:$N,13,FALSE),0)&lt;=9),INT(VLOOKUP(AK128,Equip!$A:$N,6,FALSE)*SQRT(AO128)),0)</f>
        <v>0</v>
      </c>
      <c r="AU128">
        <f>IF(AND(IFERROR(VLOOKUP(AL128,Equip!$A:$N,13,FALSE),0)&gt;=5,IFERROR(VLOOKUP(AL128,Equip!$A:$N,13,FALSE),0)&lt;=9),INT(VLOOKUP(AL128,Equip!$A:$N,6,FALSE)*SQRT(AP128)),0)</f>
        <v>0</v>
      </c>
      <c r="AV128">
        <f>IF(AND(IFERROR(VLOOKUP(AM128,Equip!$A:$N,13,FALSE),0)&gt;=5,IFERROR(VLOOKUP(AM128,Equip!$A:$N,13,FALSE),0)&lt;=9),INT(VLOOKUP(AM128,Equip!$A:$N,6,FALSE)*SQRT(AQ128)),0)</f>
        <v>0</v>
      </c>
      <c r="AW128">
        <f t="shared" si="147"/>
        <v>0</v>
      </c>
      <c r="AX128">
        <f t="shared" si="148"/>
        <v>377</v>
      </c>
    </row>
    <row r="129" spans="1:50">
      <c r="A129">
        <v>50</v>
      </c>
      <c r="B129" t="s">
        <v>784</v>
      </c>
      <c r="C129" t="s">
        <v>784</v>
      </c>
      <c r="D129">
        <v>0</v>
      </c>
      <c r="E129">
        <v>1970</v>
      </c>
      <c r="F129">
        <v>1085</v>
      </c>
      <c r="G129">
        <v>50</v>
      </c>
      <c r="H129">
        <v>2</v>
      </c>
      <c r="I129">
        <v>1</v>
      </c>
      <c r="J129">
        <v>0</v>
      </c>
      <c r="K129">
        <v>10</v>
      </c>
      <c r="L129">
        <v>4</v>
      </c>
      <c r="M129">
        <v>40</v>
      </c>
      <c r="N129">
        <v>40</v>
      </c>
      <c r="O129">
        <v>9</v>
      </c>
      <c r="P129">
        <v>18</v>
      </c>
      <c r="Q129">
        <v>0</v>
      </c>
      <c r="R129">
        <v>20</v>
      </c>
      <c r="S129">
        <v>14</v>
      </c>
      <c r="T129">
        <v>0</v>
      </c>
      <c r="U129">
        <v>10</v>
      </c>
      <c r="V129">
        <v>34</v>
      </c>
      <c r="W129">
        <v>1</v>
      </c>
      <c r="X129">
        <v>10</v>
      </c>
      <c r="Y129">
        <v>0</v>
      </c>
      <c r="Z129">
        <v>35</v>
      </c>
      <c r="AA129">
        <v>35</v>
      </c>
      <c r="AB129">
        <v>29</v>
      </c>
      <c r="AC129">
        <v>0</v>
      </c>
      <c r="AD129">
        <v>29</v>
      </c>
      <c r="AE129">
        <v>39</v>
      </c>
      <c r="AF129">
        <v>49</v>
      </c>
      <c r="AG129">
        <v>39</v>
      </c>
      <c r="AH129">
        <v>0</v>
      </c>
      <c r="AI129">
        <v>69</v>
      </c>
      <c r="AJ129">
        <v>10</v>
      </c>
      <c r="AK129">
        <v>25</v>
      </c>
      <c r="AL129">
        <v>-1</v>
      </c>
      <c r="AM129">
        <v>-1</v>
      </c>
      <c r="AN129">
        <v>12</v>
      </c>
      <c r="AO129">
        <v>12</v>
      </c>
      <c r="AP129">
        <v>0</v>
      </c>
      <c r="AQ129">
        <v>0</v>
      </c>
      <c r="AR129">
        <f t="shared" si="158"/>
        <v>24</v>
      </c>
      <c r="AS129">
        <f>IF(AND(IFERROR(VLOOKUP(AJ129,Equip!$A:$N,13,FALSE),0)&gt;=5,IFERROR(VLOOKUP(AJ129,Equip!$A:$N,13,FALSE),0)&lt;=9),INT(VLOOKUP(AJ129,Equip!$A:$N,6,FALSE)*SQRT(AN129)),0)</f>
        <v>0</v>
      </c>
      <c r="AT129">
        <f>IF(AND(IFERROR(VLOOKUP(AK129,Equip!$A:$N,13,FALSE),0)&gt;=5,IFERROR(VLOOKUP(AK129,Equip!$A:$N,13,FALSE),0)&lt;=9),INT(VLOOKUP(AK129,Equip!$A:$N,6,FALSE)*SQRT(AO129)),0)</f>
        <v>0</v>
      </c>
      <c r="AU129">
        <f>IF(AND(IFERROR(VLOOKUP(AL129,Equip!$A:$N,13,FALSE),0)&gt;=5,IFERROR(VLOOKUP(AL129,Equip!$A:$N,13,FALSE),0)&lt;=9),INT(VLOOKUP(AL129,Equip!$A:$N,6,FALSE)*SQRT(AP129)),0)</f>
        <v>0</v>
      </c>
      <c r="AV129">
        <f>IF(AND(IFERROR(VLOOKUP(AM129,Equip!$A:$N,13,FALSE),0)&gt;=5,IFERROR(VLOOKUP(AM129,Equip!$A:$N,13,FALSE),0)&lt;=9),INT(VLOOKUP(AM129,Equip!$A:$N,6,FALSE)*SQRT(AQ129)),0)</f>
        <v>0</v>
      </c>
      <c r="AW129">
        <f t="shared" si="147"/>
        <v>0</v>
      </c>
      <c r="AX129">
        <f t="shared" si="148"/>
        <v>245</v>
      </c>
    </row>
    <row r="130" spans="1:50">
      <c r="A130">
        <v>50</v>
      </c>
      <c r="B130" t="s">
        <v>784</v>
      </c>
      <c r="C130" t="s">
        <v>784</v>
      </c>
      <c r="D130">
        <v>1</v>
      </c>
      <c r="E130">
        <f t="shared" ref="E130:E134" si="346">E129</f>
        <v>1970</v>
      </c>
      <c r="F130">
        <f t="shared" ref="F130:F134" si="347">F129</f>
        <v>1085</v>
      </c>
      <c r="G130">
        <f t="shared" ref="G130:G134" si="348">G129</f>
        <v>50</v>
      </c>
      <c r="H130">
        <f t="shared" ref="H130:H134" si="349">H129</f>
        <v>2</v>
      </c>
      <c r="I130">
        <f t="shared" ref="I130:I134" si="350">I129</f>
        <v>1</v>
      </c>
      <c r="J130">
        <f t="shared" ref="J130:J134" si="351">J129</f>
        <v>0</v>
      </c>
      <c r="K130">
        <v>10</v>
      </c>
      <c r="L130">
        <v>4</v>
      </c>
      <c r="M130">
        <v>41</v>
      </c>
      <c r="N130">
        <v>41</v>
      </c>
      <c r="O130">
        <v>9</v>
      </c>
      <c r="P130">
        <v>21</v>
      </c>
      <c r="Q130">
        <v>0</v>
      </c>
      <c r="R130">
        <v>25</v>
      </c>
      <c r="S130">
        <v>15</v>
      </c>
      <c r="T130">
        <v>0</v>
      </c>
      <c r="U130">
        <f t="shared" ref="U130:U134" si="352">U129</f>
        <v>10</v>
      </c>
      <c r="V130">
        <v>36</v>
      </c>
      <c r="W130">
        <f t="shared" ref="W130:W134" si="353">W129</f>
        <v>1</v>
      </c>
      <c r="X130">
        <v>10</v>
      </c>
      <c r="Y130">
        <f t="shared" ref="Y130:Y134" si="354">Y129</f>
        <v>0</v>
      </c>
      <c r="Z130">
        <v>35</v>
      </c>
      <c r="AA130">
        <v>40</v>
      </c>
      <c r="AB130">
        <v>29</v>
      </c>
      <c r="AC130">
        <v>29</v>
      </c>
      <c r="AD130">
        <v>29</v>
      </c>
      <c r="AE130">
        <v>39</v>
      </c>
      <c r="AF130">
        <v>49</v>
      </c>
      <c r="AG130">
        <v>44</v>
      </c>
      <c r="AH130">
        <v>0</v>
      </c>
      <c r="AI130">
        <v>69</v>
      </c>
      <c r="AJ130">
        <v>25</v>
      </c>
      <c r="AK130">
        <v>26</v>
      </c>
      <c r="AL130">
        <v>2</v>
      </c>
      <c r="AM130">
        <v>-1</v>
      </c>
      <c r="AN130">
        <v>12</v>
      </c>
      <c r="AO130">
        <v>6</v>
      </c>
      <c r="AP130">
        <v>6</v>
      </c>
      <c r="AQ130">
        <v>0</v>
      </c>
      <c r="AR130">
        <f t="shared" si="158"/>
        <v>24</v>
      </c>
      <c r="AS130">
        <f>IF(AND(IFERROR(VLOOKUP(AJ130,Equip!$A:$N,13,FALSE),0)&gt;=5,IFERROR(VLOOKUP(AJ130,Equip!$A:$N,13,FALSE),0)&lt;=9),INT(VLOOKUP(AJ130,Equip!$A:$N,6,FALSE)*SQRT(AN130)),0)</f>
        <v>0</v>
      </c>
      <c r="AT130">
        <f>IF(AND(IFERROR(VLOOKUP(AK130,Equip!$A:$N,13,FALSE),0)&gt;=5,IFERROR(VLOOKUP(AK130,Equip!$A:$N,13,FALSE),0)&lt;=9),INT(VLOOKUP(AK130,Equip!$A:$N,6,FALSE)*SQRT(AO130)),0)</f>
        <v>0</v>
      </c>
      <c r="AU130">
        <f>IF(AND(IFERROR(VLOOKUP(AL130,Equip!$A:$N,13,FALSE),0)&gt;=5,IFERROR(VLOOKUP(AL130,Equip!$A:$N,13,FALSE),0)&lt;=9),INT(VLOOKUP(AL130,Equip!$A:$N,6,FALSE)*SQRT(AP130)),0)</f>
        <v>0</v>
      </c>
      <c r="AV130">
        <f>IF(AND(IFERROR(VLOOKUP(AM130,Equip!$A:$N,13,FALSE),0)&gt;=5,IFERROR(VLOOKUP(AM130,Equip!$A:$N,13,FALSE),0)&lt;=9),INT(VLOOKUP(AM130,Equip!$A:$N,6,FALSE)*SQRT(AQ130)),0)</f>
        <v>0</v>
      </c>
      <c r="AW130">
        <f t="shared" si="147"/>
        <v>0</v>
      </c>
      <c r="AX130">
        <f t="shared" si="148"/>
        <v>280</v>
      </c>
    </row>
    <row r="131" spans="1:50">
      <c r="A131">
        <v>50</v>
      </c>
      <c r="B131" t="s">
        <v>784</v>
      </c>
      <c r="C131" t="s">
        <v>784</v>
      </c>
      <c r="D131">
        <v>2</v>
      </c>
      <c r="E131">
        <f t="shared" si="346"/>
        <v>1970</v>
      </c>
      <c r="F131">
        <f t="shared" si="347"/>
        <v>1085</v>
      </c>
      <c r="G131">
        <f t="shared" si="348"/>
        <v>50</v>
      </c>
      <c r="H131">
        <f t="shared" si="349"/>
        <v>2</v>
      </c>
      <c r="I131">
        <f t="shared" si="350"/>
        <v>1</v>
      </c>
      <c r="J131">
        <f t="shared" si="351"/>
        <v>0</v>
      </c>
      <c r="K131">
        <v>10</v>
      </c>
      <c r="L131">
        <v>4</v>
      </c>
      <c r="M131">
        <v>42</v>
      </c>
      <c r="N131">
        <v>42</v>
      </c>
      <c r="O131">
        <v>9</v>
      </c>
      <c r="P131">
        <v>22</v>
      </c>
      <c r="Q131">
        <v>15</v>
      </c>
      <c r="R131">
        <v>27</v>
      </c>
      <c r="S131">
        <v>17</v>
      </c>
      <c r="T131">
        <v>0</v>
      </c>
      <c r="U131">
        <f t="shared" si="352"/>
        <v>10</v>
      </c>
      <c r="V131">
        <v>30</v>
      </c>
      <c r="W131">
        <f t="shared" si="353"/>
        <v>1</v>
      </c>
      <c r="X131">
        <v>10</v>
      </c>
      <c r="Y131">
        <f t="shared" si="354"/>
        <v>0</v>
      </c>
      <c r="Z131">
        <v>35</v>
      </c>
      <c r="AA131">
        <v>45</v>
      </c>
      <c r="AB131">
        <v>29</v>
      </c>
      <c r="AC131">
        <v>72</v>
      </c>
      <c r="AD131">
        <v>39</v>
      </c>
      <c r="AE131">
        <v>39</v>
      </c>
      <c r="AF131">
        <v>59</v>
      </c>
      <c r="AG131">
        <v>49</v>
      </c>
      <c r="AH131">
        <v>0</v>
      </c>
      <c r="AI131">
        <v>69</v>
      </c>
      <c r="AJ131">
        <v>25</v>
      </c>
      <c r="AK131">
        <v>41</v>
      </c>
      <c r="AL131">
        <v>41</v>
      </c>
      <c r="AM131">
        <v>-1</v>
      </c>
      <c r="AN131">
        <v>12</v>
      </c>
      <c r="AO131">
        <v>6</v>
      </c>
      <c r="AP131">
        <v>6</v>
      </c>
      <c r="AQ131">
        <v>0</v>
      </c>
      <c r="AR131">
        <f t="shared" si="158"/>
        <v>24</v>
      </c>
      <c r="AS131">
        <f>IF(AND(IFERROR(VLOOKUP(AJ131,Equip!$A:$N,13,FALSE),0)&gt;=5,IFERROR(VLOOKUP(AJ131,Equip!$A:$N,13,FALSE),0)&lt;=9),INT(VLOOKUP(AJ131,Equip!$A:$N,6,FALSE)*SQRT(AN131)),0)</f>
        <v>0</v>
      </c>
      <c r="AT131">
        <f>IF(AND(IFERROR(VLOOKUP(AK131,Equip!$A:$N,13,FALSE),0)&gt;=5,IFERROR(VLOOKUP(AK131,Equip!$A:$N,13,FALSE),0)&lt;=9),INT(VLOOKUP(AK131,Equip!$A:$N,6,FALSE)*SQRT(AO131)),0)</f>
        <v>0</v>
      </c>
      <c r="AU131">
        <f>IF(AND(IFERROR(VLOOKUP(AL131,Equip!$A:$N,13,FALSE),0)&gt;=5,IFERROR(VLOOKUP(AL131,Equip!$A:$N,13,FALSE),0)&lt;=9),INT(VLOOKUP(AL131,Equip!$A:$N,6,FALSE)*SQRT(AP131)),0)</f>
        <v>0</v>
      </c>
      <c r="AV131">
        <f>IF(AND(IFERROR(VLOOKUP(AM131,Equip!$A:$N,13,FALSE),0)&gt;=5,IFERROR(VLOOKUP(AM131,Equip!$A:$N,13,FALSE),0)&lt;=9),INT(VLOOKUP(AM131,Equip!$A:$N,6,FALSE)*SQRT(AQ131)),0)</f>
        <v>0</v>
      </c>
      <c r="AW131">
        <f t="shared" si="147"/>
        <v>0</v>
      </c>
      <c r="AX131">
        <f t="shared" si="148"/>
        <v>339</v>
      </c>
    </row>
    <row r="132" spans="1:50">
      <c r="A132">
        <v>50</v>
      </c>
      <c r="B132" t="s">
        <v>784</v>
      </c>
      <c r="C132" t="s">
        <v>784</v>
      </c>
      <c r="D132">
        <v>3</v>
      </c>
      <c r="E132">
        <f t="shared" si="346"/>
        <v>1970</v>
      </c>
      <c r="F132">
        <f t="shared" si="347"/>
        <v>1085</v>
      </c>
      <c r="G132">
        <f t="shared" si="348"/>
        <v>50</v>
      </c>
      <c r="H132">
        <f t="shared" si="349"/>
        <v>2</v>
      </c>
      <c r="I132">
        <f t="shared" si="350"/>
        <v>1</v>
      </c>
      <c r="J132">
        <f t="shared" si="351"/>
        <v>0</v>
      </c>
      <c r="K132">
        <v>9</v>
      </c>
      <c r="L132">
        <v>4</v>
      </c>
      <c r="M132">
        <v>47</v>
      </c>
      <c r="N132">
        <v>47</v>
      </c>
      <c r="O132">
        <v>0</v>
      </c>
      <c r="P132">
        <v>26</v>
      </c>
      <c r="Q132">
        <v>0</v>
      </c>
      <c r="R132">
        <v>37</v>
      </c>
      <c r="S132">
        <v>20</v>
      </c>
      <c r="T132">
        <v>0</v>
      </c>
      <c r="U132">
        <f t="shared" si="352"/>
        <v>10</v>
      </c>
      <c r="V132">
        <v>34</v>
      </c>
      <c r="W132">
        <f t="shared" si="353"/>
        <v>1</v>
      </c>
      <c r="X132">
        <v>10</v>
      </c>
      <c r="Y132">
        <f t="shared" si="354"/>
        <v>0</v>
      </c>
      <c r="Z132">
        <v>40</v>
      </c>
      <c r="AA132">
        <v>40</v>
      </c>
      <c r="AB132">
        <v>19</v>
      </c>
      <c r="AC132">
        <v>0</v>
      </c>
      <c r="AD132">
        <v>49</v>
      </c>
      <c r="AE132">
        <v>39</v>
      </c>
      <c r="AF132">
        <v>59</v>
      </c>
      <c r="AG132">
        <v>67</v>
      </c>
      <c r="AH132">
        <v>0</v>
      </c>
      <c r="AI132">
        <v>69</v>
      </c>
      <c r="AJ132">
        <v>20</v>
      </c>
      <c r="AK132">
        <v>16</v>
      </c>
      <c r="AL132">
        <v>0</v>
      </c>
      <c r="AM132">
        <v>-1</v>
      </c>
      <c r="AN132">
        <v>21</v>
      </c>
      <c r="AO132">
        <v>9</v>
      </c>
      <c r="AP132">
        <v>6</v>
      </c>
      <c r="AQ132">
        <v>0</v>
      </c>
      <c r="AR132">
        <f t="shared" si="158"/>
        <v>36</v>
      </c>
      <c r="AS132">
        <f>IF(AND(IFERROR(VLOOKUP(AJ132,Equip!$A:$N,13,FALSE),0)&gt;=5,IFERROR(VLOOKUP(AJ132,Equip!$A:$N,13,FALSE),0)&lt;=9),INT(VLOOKUP(AJ132,Equip!$A:$N,6,FALSE)*SQRT(AN132)),0)</f>
        <v>0</v>
      </c>
      <c r="AT132">
        <f>IF(AND(IFERROR(VLOOKUP(AK132,Equip!$A:$N,13,FALSE),0)&gt;=5,IFERROR(VLOOKUP(AK132,Equip!$A:$N,13,FALSE),0)&lt;=9),INT(VLOOKUP(AK132,Equip!$A:$N,6,FALSE)*SQRT(AO132)),0)</f>
        <v>0</v>
      </c>
      <c r="AU132">
        <f>IF(AND(IFERROR(VLOOKUP(AL132,Equip!$A:$N,13,FALSE),0)&gt;=5,IFERROR(VLOOKUP(AL132,Equip!$A:$N,13,FALSE),0)&lt;=9),INT(VLOOKUP(AL132,Equip!$A:$N,6,FALSE)*SQRT(AP132)),0)</f>
        <v>0</v>
      </c>
      <c r="AV132">
        <f>IF(AND(IFERROR(VLOOKUP(AM132,Equip!$A:$N,13,FALSE),0)&gt;=5,IFERROR(VLOOKUP(AM132,Equip!$A:$N,13,FALSE),0)&lt;=9),INT(VLOOKUP(AM132,Equip!$A:$N,6,FALSE)*SQRT(AQ132)),0)</f>
        <v>0</v>
      </c>
      <c r="AW132">
        <f t="shared" ref="AW132:AW195" si="355">SUM(AS132:AV132)</f>
        <v>0</v>
      </c>
      <c r="AX132">
        <f t="shared" ref="AX132:AX195" si="356">SUM(N132,AB132:AE132,AG132:AI132)</f>
        <v>290</v>
      </c>
    </row>
    <row r="133" spans="1:50">
      <c r="A133">
        <v>50</v>
      </c>
      <c r="B133" t="s">
        <v>784</v>
      </c>
      <c r="C133" t="s">
        <v>784</v>
      </c>
      <c r="D133">
        <v>4</v>
      </c>
      <c r="E133">
        <f t="shared" si="346"/>
        <v>1970</v>
      </c>
      <c r="F133">
        <f t="shared" si="347"/>
        <v>1085</v>
      </c>
      <c r="G133">
        <f t="shared" si="348"/>
        <v>50</v>
      </c>
      <c r="H133">
        <f t="shared" si="349"/>
        <v>2</v>
      </c>
      <c r="I133">
        <f t="shared" si="350"/>
        <v>1</v>
      </c>
      <c r="J133">
        <f t="shared" si="351"/>
        <v>0</v>
      </c>
      <c r="K133">
        <v>9</v>
      </c>
      <c r="L133">
        <v>4</v>
      </c>
      <c r="M133">
        <v>57</v>
      </c>
      <c r="N133">
        <v>57</v>
      </c>
      <c r="O133">
        <v>0</v>
      </c>
      <c r="P133">
        <v>42</v>
      </c>
      <c r="Q133">
        <v>0</v>
      </c>
      <c r="R133">
        <v>48</v>
      </c>
      <c r="S133">
        <v>34</v>
      </c>
      <c r="T133">
        <v>0</v>
      </c>
      <c r="U133">
        <f t="shared" si="352"/>
        <v>10</v>
      </c>
      <c r="V133">
        <v>55</v>
      </c>
      <c r="W133">
        <f t="shared" si="353"/>
        <v>1</v>
      </c>
      <c r="X133">
        <v>12</v>
      </c>
      <c r="Y133">
        <f t="shared" si="354"/>
        <v>0</v>
      </c>
      <c r="Z133">
        <v>45</v>
      </c>
      <c r="AA133">
        <v>40</v>
      </c>
      <c r="AB133">
        <v>34</v>
      </c>
      <c r="AC133">
        <v>0</v>
      </c>
      <c r="AD133">
        <v>69</v>
      </c>
      <c r="AE133">
        <v>64</v>
      </c>
      <c r="AF133">
        <v>59</v>
      </c>
      <c r="AG133">
        <v>69</v>
      </c>
      <c r="AH133">
        <v>0</v>
      </c>
      <c r="AI133">
        <v>79</v>
      </c>
      <c r="AJ133">
        <v>21</v>
      </c>
      <c r="AK133">
        <v>16</v>
      </c>
      <c r="AL133">
        <v>51</v>
      </c>
      <c r="AM133">
        <v>0</v>
      </c>
      <c r="AN133">
        <v>24</v>
      </c>
      <c r="AO133">
        <v>16</v>
      </c>
      <c r="AP133">
        <v>8</v>
      </c>
      <c r="AQ133">
        <v>8</v>
      </c>
      <c r="AR133">
        <f t="shared" si="158"/>
        <v>56</v>
      </c>
      <c r="AS133">
        <f>IF(AND(IFERROR(VLOOKUP(AJ133,Equip!$A:$N,13,FALSE),0)&gt;=5,IFERROR(VLOOKUP(AJ133,Equip!$A:$N,13,FALSE),0)&lt;=9),INT(VLOOKUP(AJ133,Equip!$A:$N,6,FALSE)*SQRT(AN133)),0)</f>
        <v>0</v>
      </c>
      <c r="AT133">
        <f>IF(AND(IFERROR(VLOOKUP(AK133,Equip!$A:$N,13,FALSE),0)&gt;=5,IFERROR(VLOOKUP(AK133,Equip!$A:$N,13,FALSE),0)&lt;=9),INT(VLOOKUP(AK133,Equip!$A:$N,6,FALSE)*SQRT(AO133)),0)</f>
        <v>0</v>
      </c>
      <c r="AU133">
        <f>IF(AND(IFERROR(VLOOKUP(AL133,Equip!$A:$N,13,FALSE),0)&gt;=5,IFERROR(VLOOKUP(AL133,Equip!$A:$N,13,FALSE),0)&lt;=9),INT(VLOOKUP(AL133,Equip!$A:$N,6,FALSE)*SQRT(AP133)),0)</f>
        <v>0</v>
      </c>
      <c r="AV133">
        <f>IF(AND(IFERROR(VLOOKUP(AM133,Equip!$A:$N,13,FALSE),0)&gt;=5,IFERROR(VLOOKUP(AM133,Equip!$A:$N,13,FALSE),0)&lt;=9),INT(VLOOKUP(AM133,Equip!$A:$N,6,FALSE)*SQRT(AQ133)),0)</f>
        <v>0</v>
      </c>
      <c r="AW133">
        <f t="shared" si="355"/>
        <v>0</v>
      </c>
      <c r="AX133">
        <f t="shared" si="356"/>
        <v>372</v>
      </c>
    </row>
    <row r="134" spans="1:50">
      <c r="A134">
        <v>50</v>
      </c>
      <c r="B134" t="s">
        <v>784</v>
      </c>
      <c r="C134" t="s">
        <v>784</v>
      </c>
      <c r="D134">
        <v>5</v>
      </c>
      <c r="E134">
        <f t="shared" si="346"/>
        <v>1970</v>
      </c>
      <c r="F134">
        <f t="shared" si="347"/>
        <v>1085</v>
      </c>
      <c r="G134">
        <f t="shared" si="348"/>
        <v>50</v>
      </c>
      <c r="H134">
        <f t="shared" si="349"/>
        <v>2</v>
      </c>
      <c r="I134">
        <f t="shared" si="350"/>
        <v>1</v>
      </c>
      <c r="J134">
        <f t="shared" si="351"/>
        <v>0</v>
      </c>
      <c r="K134">
        <v>9</v>
      </c>
      <c r="L134">
        <v>4</v>
      </c>
      <c r="M134">
        <v>58</v>
      </c>
      <c r="N134">
        <v>58</v>
      </c>
      <c r="O134">
        <v>0</v>
      </c>
      <c r="P134">
        <v>39</v>
      </c>
      <c r="Q134">
        <v>0</v>
      </c>
      <c r="R134">
        <v>38</v>
      </c>
      <c r="S134">
        <v>30</v>
      </c>
      <c r="T134">
        <v>0</v>
      </c>
      <c r="U134">
        <f t="shared" si="352"/>
        <v>10</v>
      </c>
      <c r="V134">
        <v>60</v>
      </c>
      <c r="W134">
        <f t="shared" si="353"/>
        <v>1</v>
      </c>
      <c r="X134">
        <v>13</v>
      </c>
      <c r="Y134">
        <f t="shared" si="354"/>
        <v>0</v>
      </c>
      <c r="Z134">
        <v>45</v>
      </c>
      <c r="AA134">
        <v>40</v>
      </c>
      <c r="AB134">
        <v>34</v>
      </c>
      <c r="AC134">
        <v>0</v>
      </c>
      <c r="AD134">
        <v>72</v>
      </c>
      <c r="AE134">
        <v>65</v>
      </c>
      <c r="AF134">
        <v>59</v>
      </c>
      <c r="AG134">
        <v>69</v>
      </c>
      <c r="AH134">
        <v>0</v>
      </c>
      <c r="AI134">
        <v>79</v>
      </c>
      <c r="AJ134">
        <v>21</v>
      </c>
      <c r="AK134">
        <v>39</v>
      </c>
      <c r="AL134">
        <v>51</v>
      </c>
      <c r="AM134">
        <v>0</v>
      </c>
      <c r="AN134">
        <v>24</v>
      </c>
      <c r="AO134">
        <v>16</v>
      </c>
      <c r="AP134">
        <v>11</v>
      </c>
      <c r="AQ134">
        <v>8</v>
      </c>
      <c r="AR134">
        <f t="shared" ref="AR134:AR197" si="357">SUM(AN134:AQ134)</f>
        <v>59</v>
      </c>
      <c r="AS134">
        <f>IF(AND(IFERROR(VLOOKUP(AJ134,Equip!$A:$N,13,FALSE),0)&gt;=5,IFERROR(VLOOKUP(AJ134,Equip!$A:$N,13,FALSE),0)&lt;=9),INT(VLOOKUP(AJ134,Equip!$A:$N,6,FALSE)*SQRT(AN134)),0)</f>
        <v>0</v>
      </c>
      <c r="AT134">
        <f>IF(AND(IFERROR(VLOOKUP(AK134,Equip!$A:$N,13,FALSE),0)&gt;=5,IFERROR(VLOOKUP(AK134,Equip!$A:$N,13,FALSE),0)&lt;=9),INT(VLOOKUP(AK134,Equip!$A:$N,6,FALSE)*SQRT(AO134)),0)</f>
        <v>0</v>
      </c>
      <c r="AU134">
        <f>IF(AND(IFERROR(VLOOKUP(AL134,Equip!$A:$N,13,FALSE),0)&gt;=5,IFERROR(VLOOKUP(AL134,Equip!$A:$N,13,FALSE),0)&lt;=9),INT(VLOOKUP(AL134,Equip!$A:$N,6,FALSE)*SQRT(AP134)),0)</f>
        <v>0</v>
      </c>
      <c r="AV134">
        <f>IF(AND(IFERROR(VLOOKUP(AM134,Equip!$A:$N,13,FALSE),0)&gt;=5,IFERROR(VLOOKUP(AM134,Equip!$A:$N,13,FALSE),0)&lt;=9),INT(VLOOKUP(AM134,Equip!$A:$N,6,FALSE)*SQRT(AQ134)),0)</f>
        <v>0</v>
      </c>
      <c r="AW134">
        <f t="shared" si="355"/>
        <v>0</v>
      </c>
      <c r="AX134">
        <f t="shared" si="356"/>
        <v>377</v>
      </c>
    </row>
    <row r="135" spans="1:50">
      <c r="A135">
        <v>51</v>
      </c>
      <c r="B135" t="s">
        <v>785</v>
      </c>
      <c r="C135" t="s">
        <v>785</v>
      </c>
      <c r="D135">
        <v>0</v>
      </c>
      <c r="E135">
        <v>1992</v>
      </c>
      <c r="F135">
        <v>1096</v>
      </c>
      <c r="G135">
        <v>51</v>
      </c>
      <c r="H135">
        <v>1</v>
      </c>
      <c r="I135">
        <v>1</v>
      </c>
      <c r="J135">
        <v>0</v>
      </c>
      <c r="K135">
        <v>3</v>
      </c>
      <c r="L135">
        <v>4</v>
      </c>
      <c r="M135">
        <v>41</v>
      </c>
      <c r="N135">
        <v>41</v>
      </c>
      <c r="O135">
        <v>40</v>
      </c>
      <c r="P135">
        <v>31</v>
      </c>
      <c r="Q135">
        <v>18</v>
      </c>
      <c r="R135">
        <v>35</v>
      </c>
      <c r="S135">
        <v>20</v>
      </c>
      <c r="T135">
        <v>0</v>
      </c>
      <c r="U135">
        <v>10</v>
      </c>
      <c r="V135">
        <v>14</v>
      </c>
      <c r="W135">
        <v>2</v>
      </c>
      <c r="X135">
        <v>10</v>
      </c>
      <c r="Y135">
        <v>0</v>
      </c>
      <c r="Z135">
        <v>15</v>
      </c>
      <c r="AA135">
        <v>15</v>
      </c>
      <c r="AB135">
        <v>59</v>
      </c>
      <c r="AC135">
        <v>69</v>
      </c>
      <c r="AD135">
        <v>59</v>
      </c>
      <c r="AE135">
        <v>59</v>
      </c>
      <c r="AF135">
        <v>49</v>
      </c>
      <c r="AG135">
        <v>69</v>
      </c>
      <c r="AH135">
        <v>0</v>
      </c>
      <c r="AI135">
        <v>39</v>
      </c>
      <c r="AJ135">
        <v>5</v>
      </c>
      <c r="AK135">
        <v>25</v>
      </c>
      <c r="AL135">
        <v>0</v>
      </c>
      <c r="AM135">
        <v>-1</v>
      </c>
      <c r="AN135">
        <v>2</v>
      </c>
      <c r="AO135">
        <v>2</v>
      </c>
      <c r="AP135">
        <v>2</v>
      </c>
      <c r="AQ135">
        <v>0</v>
      </c>
      <c r="AR135">
        <f t="shared" si="357"/>
        <v>6</v>
      </c>
      <c r="AS135">
        <f>IF(AND(IFERROR(VLOOKUP(AJ135,Equip!$A:$N,13,FALSE),0)&gt;=5,IFERROR(VLOOKUP(AJ135,Equip!$A:$N,13,FALSE),0)&lt;=9),INT(VLOOKUP(AJ135,Equip!$A:$N,6,FALSE)*SQRT(AN135)),0)</f>
        <v>0</v>
      </c>
      <c r="AT135">
        <f>IF(AND(IFERROR(VLOOKUP(AK135,Equip!$A:$N,13,FALSE),0)&gt;=5,IFERROR(VLOOKUP(AK135,Equip!$A:$N,13,FALSE),0)&lt;=9),INT(VLOOKUP(AK135,Equip!$A:$N,6,FALSE)*SQRT(AO135)),0)</f>
        <v>0</v>
      </c>
      <c r="AU135">
        <f>IF(AND(IFERROR(VLOOKUP(AL135,Equip!$A:$N,13,FALSE),0)&gt;=5,IFERROR(VLOOKUP(AL135,Equip!$A:$N,13,FALSE),0)&lt;=9),INT(VLOOKUP(AL135,Equip!$A:$N,6,FALSE)*SQRT(AP135)),0)</f>
        <v>0</v>
      </c>
      <c r="AV135">
        <f>IF(AND(IFERROR(VLOOKUP(AM135,Equip!$A:$N,13,FALSE),0)&gt;=5,IFERROR(VLOOKUP(AM135,Equip!$A:$N,13,FALSE),0)&lt;=9),INT(VLOOKUP(AM135,Equip!$A:$N,6,FALSE)*SQRT(AQ135)),0)</f>
        <v>0</v>
      </c>
      <c r="AW135">
        <f t="shared" si="355"/>
        <v>0</v>
      </c>
      <c r="AX135">
        <f t="shared" si="356"/>
        <v>395</v>
      </c>
    </row>
    <row r="136" spans="1:50">
      <c r="A136">
        <v>51</v>
      </c>
      <c r="B136" t="s">
        <v>785</v>
      </c>
      <c r="C136" t="s">
        <v>785</v>
      </c>
      <c r="D136">
        <v>1</v>
      </c>
      <c r="E136">
        <f>E135</f>
        <v>1992</v>
      </c>
      <c r="F136">
        <f t="shared" ref="F136" si="358">F135</f>
        <v>1096</v>
      </c>
      <c r="G136">
        <f t="shared" ref="G136" si="359">G135</f>
        <v>51</v>
      </c>
      <c r="H136">
        <f t="shared" ref="H136" si="360">H135</f>
        <v>1</v>
      </c>
      <c r="I136">
        <f t="shared" ref="I136" si="361">I135</f>
        <v>1</v>
      </c>
      <c r="J136">
        <f t="shared" ref="J136" si="362">J135</f>
        <v>0</v>
      </c>
      <c r="K136">
        <v>5</v>
      </c>
      <c r="L136">
        <v>4</v>
      </c>
      <c r="M136">
        <v>50</v>
      </c>
      <c r="N136">
        <v>50</v>
      </c>
      <c r="O136">
        <v>28</v>
      </c>
      <c r="P136">
        <v>39</v>
      </c>
      <c r="Q136">
        <v>23</v>
      </c>
      <c r="R136">
        <v>38</v>
      </c>
      <c r="S136">
        <v>24</v>
      </c>
      <c r="T136">
        <v>0</v>
      </c>
      <c r="U136">
        <f t="shared" ref="U136" si="363">U135</f>
        <v>10</v>
      </c>
      <c r="V136">
        <v>25</v>
      </c>
      <c r="W136">
        <f t="shared" ref="W136" si="364">W135</f>
        <v>2</v>
      </c>
      <c r="X136">
        <v>10</v>
      </c>
      <c r="Y136">
        <f t="shared" ref="Y136" si="365">Y135</f>
        <v>0</v>
      </c>
      <c r="Z136">
        <v>50</v>
      </c>
      <c r="AA136">
        <v>55</v>
      </c>
      <c r="AB136">
        <v>75</v>
      </c>
      <c r="AC136">
        <v>69</v>
      </c>
      <c r="AD136">
        <v>64</v>
      </c>
      <c r="AE136">
        <v>71</v>
      </c>
      <c r="AF136">
        <v>69</v>
      </c>
      <c r="AG136">
        <v>69</v>
      </c>
      <c r="AH136">
        <v>0</v>
      </c>
      <c r="AI136">
        <v>59</v>
      </c>
      <c r="AJ136">
        <v>6</v>
      </c>
      <c r="AK136">
        <v>26</v>
      </c>
      <c r="AL136">
        <v>25</v>
      </c>
      <c r="AM136">
        <v>0</v>
      </c>
      <c r="AN136">
        <v>5</v>
      </c>
      <c r="AO136">
        <v>6</v>
      </c>
      <c r="AP136">
        <v>5</v>
      </c>
      <c r="AQ136">
        <v>11</v>
      </c>
      <c r="AR136">
        <f t="shared" si="357"/>
        <v>27</v>
      </c>
      <c r="AS136">
        <f>IF(AND(IFERROR(VLOOKUP(AJ136,Equip!$A:$N,13,FALSE),0)&gt;=5,IFERROR(VLOOKUP(AJ136,Equip!$A:$N,13,FALSE),0)&lt;=9),INT(VLOOKUP(AJ136,Equip!$A:$N,6,FALSE)*SQRT(AN136)),0)</f>
        <v>0</v>
      </c>
      <c r="AT136">
        <f>IF(AND(IFERROR(VLOOKUP(AK136,Equip!$A:$N,13,FALSE),0)&gt;=5,IFERROR(VLOOKUP(AK136,Equip!$A:$N,13,FALSE),0)&lt;=9),INT(VLOOKUP(AK136,Equip!$A:$N,6,FALSE)*SQRT(AO136)),0)</f>
        <v>0</v>
      </c>
      <c r="AU136">
        <f>IF(AND(IFERROR(VLOOKUP(AL136,Equip!$A:$N,13,FALSE),0)&gt;=5,IFERROR(VLOOKUP(AL136,Equip!$A:$N,13,FALSE),0)&lt;=9),INT(VLOOKUP(AL136,Equip!$A:$N,6,FALSE)*SQRT(AP136)),0)</f>
        <v>0</v>
      </c>
      <c r="AV136">
        <f>IF(AND(IFERROR(VLOOKUP(AM136,Equip!$A:$N,13,FALSE),0)&gt;=5,IFERROR(VLOOKUP(AM136,Equip!$A:$N,13,FALSE),0)&lt;=9),INT(VLOOKUP(AM136,Equip!$A:$N,6,FALSE)*SQRT(AQ136)),0)</f>
        <v>0</v>
      </c>
      <c r="AW136">
        <f t="shared" si="355"/>
        <v>0</v>
      </c>
      <c r="AX136">
        <f t="shared" si="356"/>
        <v>457</v>
      </c>
    </row>
    <row r="137" spans="1:50">
      <c r="A137">
        <v>52</v>
      </c>
      <c r="B137" t="s">
        <v>786</v>
      </c>
      <c r="C137" t="s">
        <v>786</v>
      </c>
      <c r="D137">
        <v>0</v>
      </c>
      <c r="E137">
        <v>1880</v>
      </c>
      <c r="F137">
        <v>1040</v>
      </c>
      <c r="G137">
        <v>52</v>
      </c>
      <c r="H137">
        <v>1</v>
      </c>
      <c r="I137">
        <v>1</v>
      </c>
      <c r="J137">
        <v>0</v>
      </c>
      <c r="K137">
        <v>3</v>
      </c>
      <c r="L137">
        <v>4</v>
      </c>
      <c r="M137">
        <v>36</v>
      </c>
      <c r="N137">
        <v>36</v>
      </c>
      <c r="O137">
        <v>30</v>
      </c>
      <c r="P137">
        <v>25</v>
      </c>
      <c r="Q137">
        <v>12</v>
      </c>
      <c r="R137">
        <v>33</v>
      </c>
      <c r="S137">
        <v>16</v>
      </c>
      <c r="T137">
        <v>0</v>
      </c>
      <c r="U137">
        <v>10</v>
      </c>
      <c r="V137">
        <v>10</v>
      </c>
      <c r="W137">
        <v>2</v>
      </c>
      <c r="X137">
        <v>10</v>
      </c>
      <c r="Y137">
        <v>0</v>
      </c>
      <c r="Z137">
        <v>35</v>
      </c>
      <c r="AA137">
        <v>50</v>
      </c>
      <c r="AB137">
        <v>54</v>
      </c>
      <c r="AC137">
        <v>59</v>
      </c>
      <c r="AD137">
        <v>59</v>
      </c>
      <c r="AE137">
        <v>34</v>
      </c>
      <c r="AF137">
        <v>49</v>
      </c>
      <c r="AG137">
        <v>69</v>
      </c>
      <c r="AH137">
        <v>0</v>
      </c>
      <c r="AI137">
        <v>39</v>
      </c>
      <c r="AJ137">
        <v>6</v>
      </c>
      <c r="AK137">
        <v>37</v>
      </c>
      <c r="AL137">
        <v>0</v>
      </c>
      <c r="AM137">
        <v>-1</v>
      </c>
      <c r="AN137">
        <v>2</v>
      </c>
      <c r="AO137">
        <v>2</v>
      </c>
      <c r="AP137">
        <v>2</v>
      </c>
      <c r="AQ137">
        <v>0</v>
      </c>
      <c r="AR137">
        <f t="shared" si="357"/>
        <v>6</v>
      </c>
      <c r="AS137">
        <f>IF(AND(IFERROR(VLOOKUP(AJ137,Equip!$A:$N,13,FALSE),0)&gt;=5,IFERROR(VLOOKUP(AJ137,Equip!$A:$N,13,FALSE),0)&lt;=9),INT(VLOOKUP(AJ137,Equip!$A:$N,6,FALSE)*SQRT(AN137)),0)</f>
        <v>0</v>
      </c>
      <c r="AT137">
        <f>IF(AND(IFERROR(VLOOKUP(AK137,Equip!$A:$N,13,FALSE),0)&gt;=5,IFERROR(VLOOKUP(AK137,Equip!$A:$N,13,FALSE),0)&lt;=9),INT(VLOOKUP(AK137,Equip!$A:$N,6,FALSE)*SQRT(AO137)),0)</f>
        <v>0</v>
      </c>
      <c r="AU137">
        <f>IF(AND(IFERROR(VLOOKUP(AL137,Equip!$A:$N,13,FALSE),0)&gt;=5,IFERROR(VLOOKUP(AL137,Equip!$A:$N,13,FALSE),0)&lt;=9),INT(VLOOKUP(AL137,Equip!$A:$N,6,FALSE)*SQRT(AP137)),0)</f>
        <v>0</v>
      </c>
      <c r="AV137">
        <f>IF(AND(IFERROR(VLOOKUP(AM137,Equip!$A:$N,13,FALSE),0)&gt;=5,IFERROR(VLOOKUP(AM137,Equip!$A:$N,13,FALSE),0)&lt;=9),INT(VLOOKUP(AM137,Equip!$A:$N,6,FALSE)*SQRT(AQ137)),0)</f>
        <v>0</v>
      </c>
      <c r="AW137">
        <f t="shared" si="355"/>
        <v>0</v>
      </c>
      <c r="AX137">
        <f t="shared" si="356"/>
        <v>350</v>
      </c>
    </row>
    <row r="138" spans="1:50">
      <c r="A138">
        <v>52</v>
      </c>
      <c r="B138" t="s">
        <v>786</v>
      </c>
      <c r="C138" t="s">
        <v>786</v>
      </c>
      <c r="D138">
        <v>1</v>
      </c>
      <c r="E138">
        <f t="shared" ref="E138:E139" si="366">E137</f>
        <v>1880</v>
      </c>
      <c r="F138">
        <f t="shared" ref="F138:F139" si="367">F137</f>
        <v>1040</v>
      </c>
      <c r="G138">
        <f t="shared" ref="G138:G139" si="368">G137</f>
        <v>52</v>
      </c>
      <c r="H138">
        <f t="shared" ref="H138:H139" si="369">H137</f>
        <v>1</v>
      </c>
      <c r="I138">
        <f t="shared" ref="I138:I139" si="370">I137</f>
        <v>1</v>
      </c>
      <c r="J138">
        <f t="shared" ref="J138:J139" si="371">J137</f>
        <v>0</v>
      </c>
      <c r="K138">
        <v>3</v>
      </c>
      <c r="L138">
        <v>4</v>
      </c>
      <c r="M138">
        <v>48</v>
      </c>
      <c r="N138">
        <v>48</v>
      </c>
      <c r="O138">
        <v>38</v>
      </c>
      <c r="P138">
        <v>36</v>
      </c>
      <c r="Q138">
        <v>23</v>
      </c>
      <c r="R138">
        <v>47</v>
      </c>
      <c r="S138">
        <v>23</v>
      </c>
      <c r="T138">
        <v>0</v>
      </c>
      <c r="U138">
        <f t="shared" ref="U138:U139" si="372">U137</f>
        <v>10</v>
      </c>
      <c r="V138">
        <v>21</v>
      </c>
      <c r="W138">
        <f t="shared" ref="W138:W139" si="373">W137</f>
        <v>2</v>
      </c>
      <c r="X138">
        <v>10</v>
      </c>
      <c r="Y138">
        <f t="shared" ref="Y138:Y139" si="374">Y137</f>
        <v>0</v>
      </c>
      <c r="Z138">
        <v>35</v>
      </c>
      <c r="AA138">
        <v>55</v>
      </c>
      <c r="AB138">
        <v>70</v>
      </c>
      <c r="AC138">
        <v>59</v>
      </c>
      <c r="AD138">
        <v>59</v>
      </c>
      <c r="AE138">
        <v>70</v>
      </c>
      <c r="AF138">
        <v>59</v>
      </c>
      <c r="AG138">
        <v>75</v>
      </c>
      <c r="AH138">
        <v>0</v>
      </c>
      <c r="AI138">
        <v>49</v>
      </c>
      <c r="AJ138">
        <v>6</v>
      </c>
      <c r="AK138">
        <v>10</v>
      </c>
      <c r="AL138">
        <v>14</v>
      </c>
      <c r="AM138">
        <v>0</v>
      </c>
      <c r="AN138">
        <v>2</v>
      </c>
      <c r="AO138">
        <v>2</v>
      </c>
      <c r="AP138">
        <v>2</v>
      </c>
      <c r="AQ138">
        <v>2</v>
      </c>
      <c r="AR138">
        <f t="shared" si="357"/>
        <v>8</v>
      </c>
      <c r="AS138">
        <f>IF(AND(IFERROR(VLOOKUP(AJ138,Equip!$A:$N,13,FALSE),0)&gt;=5,IFERROR(VLOOKUP(AJ138,Equip!$A:$N,13,FALSE),0)&lt;=9),INT(VLOOKUP(AJ138,Equip!$A:$N,6,FALSE)*SQRT(AN138)),0)</f>
        <v>0</v>
      </c>
      <c r="AT138">
        <f>IF(AND(IFERROR(VLOOKUP(AK138,Equip!$A:$N,13,FALSE),0)&gt;=5,IFERROR(VLOOKUP(AK138,Equip!$A:$N,13,FALSE),0)&lt;=9),INT(VLOOKUP(AK138,Equip!$A:$N,6,FALSE)*SQRT(AO138)),0)</f>
        <v>0</v>
      </c>
      <c r="AU138">
        <f>IF(AND(IFERROR(VLOOKUP(AL138,Equip!$A:$N,13,FALSE),0)&gt;=5,IFERROR(VLOOKUP(AL138,Equip!$A:$N,13,FALSE),0)&lt;=9),INT(VLOOKUP(AL138,Equip!$A:$N,6,FALSE)*SQRT(AP138)),0)</f>
        <v>0</v>
      </c>
      <c r="AV138">
        <f>IF(AND(IFERROR(VLOOKUP(AM138,Equip!$A:$N,13,FALSE),0)&gt;=5,IFERROR(VLOOKUP(AM138,Equip!$A:$N,13,FALSE),0)&lt;=9),INT(VLOOKUP(AM138,Equip!$A:$N,6,FALSE)*SQRT(AQ138)),0)</f>
        <v>0</v>
      </c>
      <c r="AW138">
        <f t="shared" si="355"/>
        <v>0</v>
      </c>
      <c r="AX138">
        <f t="shared" si="356"/>
        <v>430</v>
      </c>
    </row>
    <row r="139" spans="1:50">
      <c r="A139">
        <v>52</v>
      </c>
      <c r="B139" t="s">
        <v>786</v>
      </c>
      <c r="C139" t="s">
        <v>786</v>
      </c>
      <c r="D139">
        <v>2</v>
      </c>
      <c r="E139">
        <f t="shared" si="366"/>
        <v>1880</v>
      </c>
      <c r="F139">
        <f t="shared" si="367"/>
        <v>1040</v>
      </c>
      <c r="G139">
        <f t="shared" si="368"/>
        <v>52</v>
      </c>
      <c r="H139">
        <f t="shared" si="369"/>
        <v>1</v>
      </c>
      <c r="I139">
        <f t="shared" si="370"/>
        <v>1</v>
      </c>
      <c r="J139">
        <f t="shared" si="371"/>
        <v>0</v>
      </c>
      <c r="K139">
        <v>3</v>
      </c>
      <c r="L139">
        <v>4</v>
      </c>
      <c r="M139">
        <v>53</v>
      </c>
      <c r="N139">
        <v>53</v>
      </c>
      <c r="O139">
        <v>39</v>
      </c>
      <c r="P139">
        <v>34</v>
      </c>
      <c r="Q139">
        <v>24</v>
      </c>
      <c r="R139">
        <v>37</v>
      </c>
      <c r="S139">
        <v>22</v>
      </c>
      <c r="T139">
        <v>0</v>
      </c>
      <c r="U139">
        <f t="shared" si="372"/>
        <v>10</v>
      </c>
      <c r="V139">
        <v>39</v>
      </c>
      <c r="W139">
        <f t="shared" si="373"/>
        <v>2</v>
      </c>
      <c r="X139">
        <v>14</v>
      </c>
      <c r="Y139">
        <f t="shared" si="374"/>
        <v>0</v>
      </c>
      <c r="Z139">
        <v>35</v>
      </c>
      <c r="AA139">
        <v>65</v>
      </c>
      <c r="AB139">
        <v>77</v>
      </c>
      <c r="AC139">
        <v>75</v>
      </c>
      <c r="AD139">
        <v>64</v>
      </c>
      <c r="AE139">
        <v>72</v>
      </c>
      <c r="AF139">
        <v>64</v>
      </c>
      <c r="AG139">
        <v>75</v>
      </c>
      <c r="AH139">
        <v>0</v>
      </c>
      <c r="AI139">
        <v>54</v>
      </c>
      <c r="AJ139">
        <v>90</v>
      </c>
      <c r="AK139">
        <v>90</v>
      </c>
      <c r="AL139">
        <v>74</v>
      </c>
      <c r="AM139">
        <v>0</v>
      </c>
      <c r="AN139">
        <v>2</v>
      </c>
      <c r="AO139">
        <v>2</v>
      </c>
      <c r="AP139">
        <v>2</v>
      </c>
      <c r="AQ139">
        <v>2</v>
      </c>
      <c r="AR139">
        <f t="shared" si="357"/>
        <v>8</v>
      </c>
      <c r="AS139">
        <f>IF(AND(IFERROR(VLOOKUP(AJ139,Equip!$A:$N,13,FALSE),0)&gt;=5,IFERROR(VLOOKUP(AJ139,Equip!$A:$N,13,FALSE),0)&lt;=9),INT(VLOOKUP(AJ139,Equip!$A:$N,6,FALSE)*SQRT(AN139)),0)</f>
        <v>0</v>
      </c>
      <c r="AT139">
        <f>IF(AND(IFERROR(VLOOKUP(AK139,Equip!$A:$N,13,FALSE),0)&gt;=5,IFERROR(VLOOKUP(AK139,Equip!$A:$N,13,FALSE),0)&lt;=9),INT(VLOOKUP(AK139,Equip!$A:$N,6,FALSE)*SQRT(AO139)),0)</f>
        <v>0</v>
      </c>
      <c r="AU139">
        <f>IF(AND(IFERROR(VLOOKUP(AL139,Equip!$A:$N,13,FALSE),0)&gt;=5,IFERROR(VLOOKUP(AL139,Equip!$A:$N,13,FALSE),0)&lt;=9),INT(VLOOKUP(AL139,Equip!$A:$N,6,FALSE)*SQRT(AP139)),0)</f>
        <v>0</v>
      </c>
      <c r="AV139">
        <f>IF(AND(IFERROR(VLOOKUP(AM139,Equip!$A:$N,13,FALSE),0)&gt;=5,IFERROR(VLOOKUP(AM139,Equip!$A:$N,13,FALSE),0)&lt;=9),INT(VLOOKUP(AM139,Equip!$A:$N,6,FALSE)*SQRT(AQ139)),0)</f>
        <v>0</v>
      </c>
      <c r="AW139">
        <f t="shared" si="355"/>
        <v>0</v>
      </c>
      <c r="AX139">
        <f t="shared" si="356"/>
        <v>470</v>
      </c>
    </row>
    <row r="140" spans="1:50">
      <c r="A140">
        <v>53</v>
      </c>
      <c r="B140" t="s">
        <v>787</v>
      </c>
      <c r="C140" t="s">
        <v>787</v>
      </c>
      <c r="D140">
        <v>0</v>
      </c>
      <c r="E140">
        <v>1880</v>
      </c>
      <c r="F140">
        <v>1040</v>
      </c>
      <c r="G140">
        <v>53</v>
      </c>
      <c r="H140">
        <v>1</v>
      </c>
      <c r="I140">
        <v>1</v>
      </c>
      <c r="J140">
        <v>10</v>
      </c>
      <c r="K140">
        <v>3</v>
      </c>
      <c r="L140">
        <v>4</v>
      </c>
      <c r="M140">
        <v>36</v>
      </c>
      <c r="N140">
        <v>36</v>
      </c>
      <c r="O140">
        <v>30</v>
      </c>
      <c r="P140">
        <v>25</v>
      </c>
      <c r="Q140">
        <v>12</v>
      </c>
      <c r="R140">
        <v>33</v>
      </c>
      <c r="S140">
        <v>16</v>
      </c>
      <c r="T140">
        <v>0</v>
      </c>
      <c r="U140">
        <v>10</v>
      </c>
      <c r="V140">
        <v>10</v>
      </c>
      <c r="W140">
        <v>2</v>
      </c>
      <c r="X140">
        <v>10</v>
      </c>
      <c r="Y140">
        <v>0</v>
      </c>
      <c r="Z140">
        <v>35</v>
      </c>
      <c r="AA140">
        <v>50</v>
      </c>
      <c r="AB140">
        <v>49</v>
      </c>
      <c r="AC140">
        <v>49</v>
      </c>
      <c r="AD140">
        <v>49</v>
      </c>
      <c r="AE140">
        <v>34</v>
      </c>
      <c r="AF140">
        <v>49</v>
      </c>
      <c r="AG140">
        <v>59</v>
      </c>
      <c r="AH140">
        <v>0</v>
      </c>
      <c r="AI140">
        <v>39</v>
      </c>
      <c r="AJ140">
        <v>6</v>
      </c>
      <c r="AK140">
        <v>37</v>
      </c>
      <c r="AL140">
        <v>0</v>
      </c>
      <c r="AM140">
        <v>-1</v>
      </c>
      <c r="AN140">
        <v>2</v>
      </c>
      <c r="AO140">
        <v>2</v>
      </c>
      <c r="AP140">
        <v>2</v>
      </c>
      <c r="AQ140">
        <v>0</v>
      </c>
      <c r="AR140">
        <f t="shared" si="357"/>
        <v>6</v>
      </c>
      <c r="AS140">
        <f>IF(AND(IFERROR(VLOOKUP(AJ140,Equip!$A:$N,13,FALSE),0)&gt;=5,IFERROR(VLOOKUP(AJ140,Equip!$A:$N,13,FALSE),0)&lt;=9),INT(VLOOKUP(AJ140,Equip!$A:$N,6,FALSE)*SQRT(AN140)),0)</f>
        <v>0</v>
      </c>
      <c r="AT140">
        <f>IF(AND(IFERROR(VLOOKUP(AK140,Equip!$A:$N,13,FALSE),0)&gt;=5,IFERROR(VLOOKUP(AK140,Equip!$A:$N,13,FALSE),0)&lt;=9),INT(VLOOKUP(AK140,Equip!$A:$N,6,FALSE)*SQRT(AO140)),0)</f>
        <v>0</v>
      </c>
      <c r="AU140">
        <f>IF(AND(IFERROR(VLOOKUP(AL140,Equip!$A:$N,13,FALSE),0)&gt;=5,IFERROR(VLOOKUP(AL140,Equip!$A:$N,13,FALSE),0)&lt;=9),INT(VLOOKUP(AL140,Equip!$A:$N,6,FALSE)*SQRT(AP140)),0)</f>
        <v>0</v>
      </c>
      <c r="AV140">
        <f>IF(AND(IFERROR(VLOOKUP(AM140,Equip!$A:$N,13,FALSE),0)&gt;=5,IFERROR(VLOOKUP(AM140,Equip!$A:$N,13,FALSE),0)&lt;=9),INT(VLOOKUP(AM140,Equip!$A:$N,6,FALSE)*SQRT(AQ140)),0)</f>
        <v>0</v>
      </c>
      <c r="AW140">
        <f t="shared" si="355"/>
        <v>0</v>
      </c>
      <c r="AX140">
        <f t="shared" si="356"/>
        <v>315</v>
      </c>
    </row>
    <row r="141" spans="1:50">
      <c r="A141">
        <v>53</v>
      </c>
      <c r="B141" t="s">
        <v>787</v>
      </c>
      <c r="C141" t="s">
        <v>787</v>
      </c>
      <c r="D141">
        <v>1</v>
      </c>
      <c r="E141">
        <f t="shared" ref="E141:E142" si="375">E140</f>
        <v>1880</v>
      </c>
      <c r="F141">
        <f t="shared" ref="F141:F142" si="376">F140</f>
        <v>1040</v>
      </c>
      <c r="G141">
        <f t="shared" ref="G141:G142" si="377">G140</f>
        <v>53</v>
      </c>
      <c r="H141">
        <f t="shared" ref="H141:H142" si="378">H140</f>
        <v>1</v>
      </c>
      <c r="I141">
        <f t="shared" ref="I141:I142" si="379">I140</f>
        <v>1</v>
      </c>
      <c r="J141">
        <f t="shared" ref="J141:J142" si="380">J140</f>
        <v>10</v>
      </c>
      <c r="K141">
        <v>3</v>
      </c>
      <c r="L141">
        <v>4</v>
      </c>
      <c r="M141">
        <v>48</v>
      </c>
      <c r="N141">
        <v>48</v>
      </c>
      <c r="O141">
        <v>38</v>
      </c>
      <c r="P141">
        <v>36</v>
      </c>
      <c r="Q141">
        <v>27</v>
      </c>
      <c r="R141">
        <v>47</v>
      </c>
      <c r="S141">
        <v>23</v>
      </c>
      <c r="T141">
        <v>0</v>
      </c>
      <c r="U141">
        <f t="shared" ref="U141:U142" si="381">U140</f>
        <v>10</v>
      </c>
      <c r="V141">
        <v>21</v>
      </c>
      <c r="W141">
        <f t="shared" ref="W141:W142" si="382">W140</f>
        <v>2</v>
      </c>
      <c r="X141">
        <v>10</v>
      </c>
      <c r="Y141">
        <f t="shared" ref="Y141:Y142" si="383">Y140</f>
        <v>0</v>
      </c>
      <c r="Z141">
        <v>35</v>
      </c>
      <c r="AA141">
        <v>55</v>
      </c>
      <c r="AB141">
        <v>70</v>
      </c>
      <c r="AC141">
        <v>59</v>
      </c>
      <c r="AD141">
        <v>59</v>
      </c>
      <c r="AE141">
        <v>70</v>
      </c>
      <c r="AF141">
        <v>59</v>
      </c>
      <c r="AG141">
        <v>75</v>
      </c>
      <c r="AH141">
        <v>0</v>
      </c>
      <c r="AI141">
        <v>49</v>
      </c>
      <c r="AJ141">
        <v>6</v>
      </c>
      <c r="AK141">
        <v>10</v>
      </c>
      <c r="AL141">
        <v>14</v>
      </c>
      <c r="AM141">
        <v>0</v>
      </c>
      <c r="AN141">
        <v>2</v>
      </c>
      <c r="AO141">
        <v>2</v>
      </c>
      <c r="AP141">
        <v>2</v>
      </c>
      <c r="AQ141">
        <v>2</v>
      </c>
      <c r="AR141">
        <f t="shared" si="357"/>
        <v>8</v>
      </c>
      <c r="AS141">
        <f>IF(AND(IFERROR(VLOOKUP(AJ141,Equip!$A:$N,13,FALSE),0)&gt;=5,IFERROR(VLOOKUP(AJ141,Equip!$A:$N,13,FALSE),0)&lt;=9),INT(VLOOKUP(AJ141,Equip!$A:$N,6,FALSE)*SQRT(AN141)),0)</f>
        <v>0</v>
      </c>
      <c r="AT141">
        <f>IF(AND(IFERROR(VLOOKUP(AK141,Equip!$A:$N,13,FALSE),0)&gt;=5,IFERROR(VLOOKUP(AK141,Equip!$A:$N,13,FALSE),0)&lt;=9),INT(VLOOKUP(AK141,Equip!$A:$N,6,FALSE)*SQRT(AO141)),0)</f>
        <v>0</v>
      </c>
      <c r="AU141">
        <f>IF(AND(IFERROR(VLOOKUP(AL141,Equip!$A:$N,13,FALSE),0)&gt;=5,IFERROR(VLOOKUP(AL141,Equip!$A:$N,13,FALSE),0)&lt;=9),INT(VLOOKUP(AL141,Equip!$A:$N,6,FALSE)*SQRT(AP141)),0)</f>
        <v>0</v>
      </c>
      <c r="AV141">
        <f>IF(AND(IFERROR(VLOOKUP(AM141,Equip!$A:$N,13,FALSE),0)&gt;=5,IFERROR(VLOOKUP(AM141,Equip!$A:$N,13,FALSE),0)&lt;=9),INT(VLOOKUP(AM141,Equip!$A:$N,6,FALSE)*SQRT(AQ141)),0)</f>
        <v>0</v>
      </c>
      <c r="AW141">
        <f t="shared" si="355"/>
        <v>0</v>
      </c>
      <c r="AX141">
        <f t="shared" si="356"/>
        <v>430</v>
      </c>
    </row>
    <row r="142" spans="1:50">
      <c r="A142">
        <v>53</v>
      </c>
      <c r="B142" t="s">
        <v>787</v>
      </c>
      <c r="C142" t="s">
        <v>787</v>
      </c>
      <c r="D142">
        <v>2</v>
      </c>
      <c r="E142">
        <f t="shared" si="375"/>
        <v>1880</v>
      </c>
      <c r="F142">
        <f t="shared" si="376"/>
        <v>1040</v>
      </c>
      <c r="G142">
        <f t="shared" si="377"/>
        <v>53</v>
      </c>
      <c r="H142">
        <f t="shared" si="378"/>
        <v>1</v>
      </c>
      <c r="I142">
        <f t="shared" si="379"/>
        <v>1</v>
      </c>
      <c r="J142">
        <f t="shared" si="380"/>
        <v>10</v>
      </c>
      <c r="K142">
        <v>3</v>
      </c>
      <c r="L142">
        <v>4</v>
      </c>
      <c r="M142">
        <v>52</v>
      </c>
      <c r="N142">
        <v>52</v>
      </c>
      <c r="O142">
        <v>49</v>
      </c>
      <c r="P142">
        <v>54</v>
      </c>
      <c r="Q142">
        <v>39</v>
      </c>
      <c r="R142">
        <v>63</v>
      </c>
      <c r="S142">
        <v>46</v>
      </c>
      <c r="T142">
        <v>0</v>
      </c>
      <c r="U142">
        <f t="shared" si="381"/>
        <v>10</v>
      </c>
      <c r="V142">
        <v>42</v>
      </c>
      <c r="W142">
        <f t="shared" si="382"/>
        <v>2</v>
      </c>
      <c r="X142">
        <v>12</v>
      </c>
      <c r="Y142">
        <f t="shared" si="383"/>
        <v>0</v>
      </c>
      <c r="Z142">
        <v>35</v>
      </c>
      <c r="AA142">
        <v>65</v>
      </c>
      <c r="AB142">
        <v>78</v>
      </c>
      <c r="AC142">
        <v>77</v>
      </c>
      <c r="AD142">
        <v>65</v>
      </c>
      <c r="AE142">
        <v>72</v>
      </c>
      <c r="AF142">
        <v>62</v>
      </c>
      <c r="AG142">
        <v>76</v>
      </c>
      <c r="AH142">
        <v>0</v>
      </c>
      <c r="AI142">
        <v>55</v>
      </c>
      <c r="AJ142">
        <v>90</v>
      </c>
      <c r="AK142">
        <v>90</v>
      </c>
      <c r="AL142">
        <v>74</v>
      </c>
      <c r="AM142">
        <v>39</v>
      </c>
      <c r="AN142">
        <v>2</v>
      </c>
      <c r="AO142">
        <v>2</v>
      </c>
      <c r="AP142">
        <v>2</v>
      </c>
      <c r="AQ142">
        <v>2</v>
      </c>
      <c r="AR142">
        <f t="shared" si="357"/>
        <v>8</v>
      </c>
      <c r="AS142">
        <f>IF(AND(IFERROR(VLOOKUP(AJ142,Equip!$A:$N,13,FALSE),0)&gt;=5,IFERROR(VLOOKUP(AJ142,Equip!$A:$N,13,FALSE),0)&lt;=9),INT(VLOOKUP(AJ142,Equip!$A:$N,6,FALSE)*SQRT(AN142)),0)</f>
        <v>0</v>
      </c>
      <c r="AT142">
        <f>IF(AND(IFERROR(VLOOKUP(AK142,Equip!$A:$N,13,FALSE),0)&gt;=5,IFERROR(VLOOKUP(AK142,Equip!$A:$N,13,FALSE),0)&lt;=9),INT(VLOOKUP(AK142,Equip!$A:$N,6,FALSE)*SQRT(AO142)),0)</f>
        <v>0</v>
      </c>
      <c r="AU142">
        <f>IF(AND(IFERROR(VLOOKUP(AL142,Equip!$A:$N,13,FALSE),0)&gt;=5,IFERROR(VLOOKUP(AL142,Equip!$A:$N,13,FALSE),0)&lt;=9),INT(VLOOKUP(AL142,Equip!$A:$N,6,FALSE)*SQRT(AP142)),0)</f>
        <v>0</v>
      </c>
      <c r="AV142">
        <f>IF(AND(IFERROR(VLOOKUP(AM142,Equip!$A:$N,13,FALSE),0)&gt;=5,IFERROR(VLOOKUP(AM142,Equip!$A:$N,13,FALSE),0)&lt;=9),INT(VLOOKUP(AM142,Equip!$A:$N,6,FALSE)*SQRT(AQ142)),0)</f>
        <v>0</v>
      </c>
      <c r="AW142">
        <f t="shared" si="355"/>
        <v>0</v>
      </c>
      <c r="AX142">
        <f t="shared" si="356"/>
        <v>475</v>
      </c>
    </row>
    <row r="143" spans="1:50">
      <c r="A143">
        <v>54</v>
      </c>
      <c r="B143" t="s">
        <v>788</v>
      </c>
      <c r="C143" t="s">
        <v>788</v>
      </c>
      <c r="D143">
        <v>0</v>
      </c>
      <c r="E143">
        <v>1903</v>
      </c>
      <c r="F143">
        <v>1051</v>
      </c>
      <c r="G143">
        <v>54</v>
      </c>
      <c r="H143">
        <v>1</v>
      </c>
      <c r="I143">
        <v>1</v>
      </c>
      <c r="J143">
        <v>7</v>
      </c>
      <c r="K143">
        <v>3</v>
      </c>
      <c r="L143">
        <v>4</v>
      </c>
      <c r="M143">
        <v>37</v>
      </c>
      <c r="N143">
        <v>37</v>
      </c>
      <c r="O143">
        <v>30</v>
      </c>
      <c r="P143">
        <v>26</v>
      </c>
      <c r="Q143">
        <v>12</v>
      </c>
      <c r="R143">
        <v>33</v>
      </c>
      <c r="S143">
        <v>16</v>
      </c>
      <c r="T143">
        <v>0</v>
      </c>
      <c r="U143">
        <v>10</v>
      </c>
      <c r="V143">
        <v>11</v>
      </c>
      <c r="W143">
        <v>2</v>
      </c>
      <c r="X143">
        <v>20</v>
      </c>
      <c r="Y143">
        <v>0</v>
      </c>
      <c r="Z143">
        <v>35</v>
      </c>
      <c r="AA143">
        <v>50</v>
      </c>
      <c r="AB143">
        <v>54</v>
      </c>
      <c r="AC143">
        <v>59</v>
      </c>
      <c r="AD143">
        <v>59</v>
      </c>
      <c r="AE143">
        <v>37</v>
      </c>
      <c r="AF143">
        <v>69</v>
      </c>
      <c r="AG143">
        <v>69</v>
      </c>
      <c r="AH143">
        <v>0</v>
      </c>
      <c r="AI143">
        <v>39</v>
      </c>
      <c r="AJ143">
        <v>6</v>
      </c>
      <c r="AK143">
        <v>37</v>
      </c>
      <c r="AL143">
        <v>0</v>
      </c>
      <c r="AM143">
        <v>-1</v>
      </c>
      <c r="AN143">
        <v>2</v>
      </c>
      <c r="AO143">
        <v>2</v>
      </c>
      <c r="AP143">
        <v>2</v>
      </c>
      <c r="AQ143">
        <v>0</v>
      </c>
      <c r="AR143">
        <f t="shared" si="357"/>
        <v>6</v>
      </c>
      <c r="AS143">
        <f>IF(AND(IFERROR(VLOOKUP(AJ143,Equip!$A:$N,13,FALSE),0)&gt;=5,IFERROR(VLOOKUP(AJ143,Equip!$A:$N,13,FALSE),0)&lt;=9),INT(VLOOKUP(AJ143,Equip!$A:$N,6,FALSE)*SQRT(AN143)),0)</f>
        <v>0</v>
      </c>
      <c r="AT143">
        <f>IF(AND(IFERROR(VLOOKUP(AK143,Equip!$A:$N,13,FALSE),0)&gt;=5,IFERROR(VLOOKUP(AK143,Equip!$A:$N,13,FALSE),0)&lt;=9),INT(VLOOKUP(AK143,Equip!$A:$N,6,FALSE)*SQRT(AO143)),0)</f>
        <v>0</v>
      </c>
      <c r="AU143">
        <f>IF(AND(IFERROR(VLOOKUP(AL143,Equip!$A:$N,13,FALSE),0)&gt;=5,IFERROR(VLOOKUP(AL143,Equip!$A:$N,13,FALSE),0)&lt;=9),INT(VLOOKUP(AL143,Equip!$A:$N,6,FALSE)*SQRT(AP143)),0)</f>
        <v>0</v>
      </c>
      <c r="AV143">
        <f>IF(AND(IFERROR(VLOOKUP(AM143,Equip!$A:$N,13,FALSE),0)&gt;=5,IFERROR(VLOOKUP(AM143,Equip!$A:$N,13,FALSE),0)&lt;=9),INT(VLOOKUP(AM143,Equip!$A:$N,6,FALSE)*SQRT(AQ143)),0)</f>
        <v>0</v>
      </c>
      <c r="AW143">
        <f t="shared" si="355"/>
        <v>0</v>
      </c>
      <c r="AX143">
        <f t="shared" si="356"/>
        <v>354</v>
      </c>
    </row>
    <row r="144" spans="1:50">
      <c r="A144">
        <v>54</v>
      </c>
      <c r="B144" t="s">
        <v>788</v>
      </c>
      <c r="C144" t="s">
        <v>788</v>
      </c>
      <c r="D144">
        <v>1</v>
      </c>
      <c r="E144">
        <f>E143</f>
        <v>1903</v>
      </c>
      <c r="F144">
        <f t="shared" ref="F144" si="384">F143</f>
        <v>1051</v>
      </c>
      <c r="G144">
        <f t="shared" ref="G144" si="385">G143</f>
        <v>54</v>
      </c>
      <c r="H144">
        <f t="shared" ref="H144" si="386">H143</f>
        <v>1</v>
      </c>
      <c r="I144">
        <f t="shared" ref="I144" si="387">I143</f>
        <v>1</v>
      </c>
      <c r="J144">
        <f t="shared" ref="J144" si="388">J143</f>
        <v>7</v>
      </c>
      <c r="K144">
        <v>3</v>
      </c>
      <c r="L144">
        <v>4</v>
      </c>
      <c r="M144">
        <v>49</v>
      </c>
      <c r="N144">
        <v>49</v>
      </c>
      <c r="O144">
        <v>38</v>
      </c>
      <c r="P144">
        <v>41</v>
      </c>
      <c r="Q144">
        <v>23</v>
      </c>
      <c r="R144">
        <v>47</v>
      </c>
      <c r="S144">
        <v>27</v>
      </c>
      <c r="T144">
        <v>0</v>
      </c>
      <c r="U144">
        <f t="shared" ref="U144" si="389">U143</f>
        <v>10</v>
      </c>
      <c r="V144">
        <v>21</v>
      </c>
      <c r="W144">
        <f t="shared" ref="W144" si="390">W143</f>
        <v>2</v>
      </c>
      <c r="X144">
        <v>30</v>
      </c>
      <c r="Y144">
        <f t="shared" ref="Y144" si="391">Y143</f>
        <v>0</v>
      </c>
      <c r="Z144">
        <v>35</v>
      </c>
      <c r="AA144">
        <v>55</v>
      </c>
      <c r="AB144">
        <v>72</v>
      </c>
      <c r="AC144">
        <v>59</v>
      </c>
      <c r="AD144">
        <v>59</v>
      </c>
      <c r="AE144">
        <v>70</v>
      </c>
      <c r="AF144">
        <v>79</v>
      </c>
      <c r="AG144">
        <v>75</v>
      </c>
      <c r="AH144">
        <v>0</v>
      </c>
      <c r="AI144">
        <v>49</v>
      </c>
      <c r="AJ144">
        <v>6</v>
      </c>
      <c r="AK144">
        <v>39</v>
      </c>
      <c r="AL144">
        <v>14</v>
      </c>
      <c r="AM144">
        <v>0</v>
      </c>
      <c r="AN144">
        <v>2</v>
      </c>
      <c r="AO144">
        <v>2</v>
      </c>
      <c r="AP144">
        <v>2</v>
      </c>
      <c r="AQ144">
        <v>2</v>
      </c>
      <c r="AR144">
        <f t="shared" si="357"/>
        <v>8</v>
      </c>
      <c r="AS144">
        <f>IF(AND(IFERROR(VLOOKUP(AJ144,Equip!$A:$N,13,FALSE),0)&gt;=5,IFERROR(VLOOKUP(AJ144,Equip!$A:$N,13,FALSE),0)&lt;=9),INT(VLOOKUP(AJ144,Equip!$A:$N,6,FALSE)*SQRT(AN144)),0)</f>
        <v>0</v>
      </c>
      <c r="AT144">
        <f>IF(AND(IFERROR(VLOOKUP(AK144,Equip!$A:$N,13,FALSE),0)&gt;=5,IFERROR(VLOOKUP(AK144,Equip!$A:$N,13,FALSE),0)&lt;=9),INT(VLOOKUP(AK144,Equip!$A:$N,6,FALSE)*SQRT(AO144)),0)</f>
        <v>0</v>
      </c>
      <c r="AU144">
        <f>IF(AND(IFERROR(VLOOKUP(AL144,Equip!$A:$N,13,FALSE),0)&gt;=5,IFERROR(VLOOKUP(AL144,Equip!$A:$N,13,FALSE),0)&lt;=9),INT(VLOOKUP(AL144,Equip!$A:$N,6,FALSE)*SQRT(AP144)),0)</f>
        <v>0</v>
      </c>
      <c r="AV144">
        <f>IF(AND(IFERROR(VLOOKUP(AM144,Equip!$A:$N,13,FALSE),0)&gt;=5,IFERROR(VLOOKUP(AM144,Equip!$A:$N,13,FALSE),0)&lt;=9),INT(VLOOKUP(AM144,Equip!$A:$N,6,FALSE)*SQRT(AQ144)),0)</f>
        <v>0</v>
      </c>
      <c r="AW144">
        <f t="shared" si="355"/>
        <v>0</v>
      </c>
      <c r="AX144">
        <f t="shared" si="356"/>
        <v>433</v>
      </c>
    </row>
    <row r="145" spans="1:50">
      <c r="A145">
        <v>55</v>
      </c>
      <c r="B145" t="s">
        <v>789</v>
      </c>
      <c r="C145" t="s">
        <v>789</v>
      </c>
      <c r="D145">
        <v>0</v>
      </c>
      <c r="E145">
        <v>2057</v>
      </c>
      <c r="F145">
        <v>1128</v>
      </c>
      <c r="G145">
        <v>55</v>
      </c>
      <c r="H145">
        <v>2</v>
      </c>
      <c r="I145">
        <v>1</v>
      </c>
      <c r="J145">
        <v>5</v>
      </c>
      <c r="K145">
        <v>3</v>
      </c>
      <c r="L145">
        <v>4</v>
      </c>
      <c r="M145">
        <v>44</v>
      </c>
      <c r="N145">
        <v>44</v>
      </c>
      <c r="O145">
        <v>40</v>
      </c>
      <c r="P145">
        <v>32</v>
      </c>
      <c r="Q145">
        <v>24</v>
      </c>
      <c r="R145">
        <v>34</v>
      </c>
      <c r="S145">
        <v>16</v>
      </c>
      <c r="T145">
        <v>0</v>
      </c>
      <c r="U145">
        <v>10</v>
      </c>
      <c r="V145">
        <v>12</v>
      </c>
      <c r="W145">
        <v>2</v>
      </c>
      <c r="X145">
        <v>10</v>
      </c>
      <c r="Y145">
        <v>0</v>
      </c>
      <c r="Z145">
        <v>40</v>
      </c>
      <c r="AA145">
        <v>65</v>
      </c>
      <c r="AB145">
        <v>59</v>
      </c>
      <c r="AC145">
        <v>59</v>
      </c>
      <c r="AD145">
        <v>64</v>
      </c>
      <c r="AE145">
        <v>49</v>
      </c>
      <c r="AF145">
        <v>49</v>
      </c>
      <c r="AG145">
        <v>69</v>
      </c>
      <c r="AH145">
        <v>0</v>
      </c>
      <c r="AI145">
        <v>39</v>
      </c>
      <c r="AJ145">
        <v>6</v>
      </c>
      <c r="AK145">
        <v>25</v>
      </c>
      <c r="AL145">
        <v>0</v>
      </c>
      <c r="AM145">
        <v>-1</v>
      </c>
      <c r="AN145">
        <v>2</v>
      </c>
      <c r="AO145">
        <v>2</v>
      </c>
      <c r="AP145">
        <v>2</v>
      </c>
      <c r="AQ145">
        <v>0</v>
      </c>
      <c r="AR145">
        <f t="shared" si="357"/>
        <v>6</v>
      </c>
      <c r="AS145">
        <f>IF(AND(IFERROR(VLOOKUP(AJ145,Equip!$A:$N,13,FALSE),0)&gt;=5,IFERROR(VLOOKUP(AJ145,Equip!$A:$N,13,FALSE),0)&lt;=9),INT(VLOOKUP(AJ145,Equip!$A:$N,6,FALSE)*SQRT(AN145)),0)</f>
        <v>0</v>
      </c>
      <c r="AT145">
        <f>IF(AND(IFERROR(VLOOKUP(AK145,Equip!$A:$N,13,FALSE),0)&gt;=5,IFERROR(VLOOKUP(AK145,Equip!$A:$N,13,FALSE),0)&lt;=9),INT(VLOOKUP(AK145,Equip!$A:$N,6,FALSE)*SQRT(AO145)),0)</f>
        <v>0</v>
      </c>
      <c r="AU145">
        <f>IF(AND(IFERROR(VLOOKUP(AL145,Equip!$A:$N,13,FALSE),0)&gt;=5,IFERROR(VLOOKUP(AL145,Equip!$A:$N,13,FALSE),0)&lt;=9),INT(VLOOKUP(AL145,Equip!$A:$N,6,FALSE)*SQRT(AP145)),0)</f>
        <v>0</v>
      </c>
      <c r="AV145">
        <f>IF(AND(IFERROR(VLOOKUP(AM145,Equip!$A:$N,13,FALSE),0)&gt;=5,IFERROR(VLOOKUP(AM145,Equip!$A:$N,13,FALSE),0)&lt;=9),INT(VLOOKUP(AM145,Equip!$A:$N,6,FALSE)*SQRT(AQ145)),0)</f>
        <v>0</v>
      </c>
      <c r="AW145">
        <f t="shared" si="355"/>
        <v>0</v>
      </c>
      <c r="AX145">
        <f t="shared" si="356"/>
        <v>383</v>
      </c>
    </row>
    <row r="146" spans="1:50">
      <c r="A146">
        <v>55</v>
      </c>
      <c r="B146" t="s">
        <v>789</v>
      </c>
      <c r="C146" t="s">
        <v>789</v>
      </c>
      <c r="D146">
        <v>1</v>
      </c>
      <c r="E146">
        <f t="shared" ref="E146:E147" si="392">E145</f>
        <v>2057</v>
      </c>
      <c r="F146">
        <f t="shared" ref="F146:F147" si="393">F145</f>
        <v>1128</v>
      </c>
      <c r="G146">
        <f t="shared" ref="G146:G147" si="394">G145</f>
        <v>55</v>
      </c>
      <c r="H146">
        <f t="shared" ref="H146:H147" si="395">H145</f>
        <v>2</v>
      </c>
      <c r="I146">
        <f t="shared" ref="I146:I147" si="396">I145</f>
        <v>1</v>
      </c>
      <c r="J146">
        <f t="shared" ref="J146:J147" si="397">J145</f>
        <v>5</v>
      </c>
      <c r="K146">
        <v>3</v>
      </c>
      <c r="L146">
        <v>4</v>
      </c>
      <c r="M146">
        <v>55</v>
      </c>
      <c r="N146">
        <v>55</v>
      </c>
      <c r="O146">
        <v>48</v>
      </c>
      <c r="P146">
        <v>42</v>
      </c>
      <c r="Q146">
        <v>24</v>
      </c>
      <c r="R146">
        <v>39</v>
      </c>
      <c r="S146">
        <v>18</v>
      </c>
      <c r="T146">
        <v>0</v>
      </c>
      <c r="U146">
        <f t="shared" ref="U146:U147" si="398">U145</f>
        <v>10</v>
      </c>
      <c r="V146">
        <v>14</v>
      </c>
      <c r="W146">
        <f t="shared" ref="W146:W147" si="399">W145</f>
        <v>2</v>
      </c>
      <c r="X146">
        <v>10</v>
      </c>
      <c r="Y146">
        <f t="shared" ref="Y146:Y147" si="400">Y145</f>
        <v>0</v>
      </c>
      <c r="Z146">
        <v>40</v>
      </c>
      <c r="AA146">
        <v>70</v>
      </c>
      <c r="AB146">
        <v>76</v>
      </c>
      <c r="AC146">
        <v>79</v>
      </c>
      <c r="AD146">
        <v>69</v>
      </c>
      <c r="AE146">
        <v>73</v>
      </c>
      <c r="AF146">
        <v>59</v>
      </c>
      <c r="AG146">
        <v>79</v>
      </c>
      <c r="AH146">
        <v>0</v>
      </c>
      <c r="AI146">
        <v>49</v>
      </c>
      <c r="AJ146">
        <v>6</v>
      </c>
      <c r="AK146">
        <v>15</v>
      </c>
      <c r="AL146">
        <v>25</v>
      </c>
      <c r="AM146">
        <v>0</v>
      </c>
      <c r="AN146">
        <v>2</v>
      </c>
      <c r="AO146">
        <v>2</v>
      </c>
      <c r="AP146">
        <v>2</v>
      </c>
      <c r="AQ146">
        <v>2</v>
      </c>
      <c r="AR146">
        <f t="shared" si="357"/>
        <v>8</v>
      </c>
      <c r="AS146">
        <f>IF(AND(IFERROR(VLOOKUP(AJ146,Equip!$A:$N,13,FALSE),0)&gt;=5,IFERROR(VLOOKUP(AJ146,Equip!$A:$N,13,FALSE),0)&lt;=9),INT(VLOOKUP(AJ146,Equip!$A:$N,6,FALSE)*SQRT(AN146)),0)</f>
        <v>0</v>
      </c>
      <c r="AT146">
        <f>IF(AND(IFERROR(VLOOKUP(AK146,Equip!$A:$N,13,FALSE),0)&gt;=5,IFERROR(VLOOKUP(AK146,Equip!$A:$N,13,FALSE),0)&lt;=9),INT(VLOOKUP(AK146,Equip!$A:$N,6,FALSE)*SQRT(AO146)),0)</f>
        <v>0</v>
      </c>
      <c r="AU146">
        <f>IF(AND(IFERROR(VLOOKUP(AL146,Equip!$A:$N,13,FALSE),0)&gt;=5,IFERROR(VLOOKUP(AL146,Equip!$A:$N,13,FALSE),0)&lt;=9),INT(VLOOKUP(AL146,Equip!$A:$N,6,FALSE)*SQRT(AP146)),0)</f>
        <v>0</v>
      </c>
      <c r="AV146">
        <f>IF(AND(IFERROR(VLOOKUP(AM146,Equip!$A:$N,13,FALSE),0)&gt;=5,IFERROR(VLOOKUP(AM146,Equip!$A:$N,13,FALSE),0)&lt;=9),INT(VLOOKUP(AM146,Equip!$A:$N,6,FALSE)*SQRT(AQ146)),0)</f>
        <v>0</v>
      </c>
      <c r="AW146">
        <f t="shared" si="355"/>
        <v>0</v>
      </c>
      <c r="AX146">
        <f t="shared" si="356"/>
        <v>480</v>
      </c>
    </row>
    <row r="147" spans="1:50">
      <c r="A147">
        <v>55</v>
      </c>
      <c r="B147" t="s">
        <v>789</v>
      </c>
      <c r="C147" t="s">
        <v>789</v>
      </c>
      <c r="D147">
        <v>2</v>
      </c>
      <c r="E147">
        <f t="shared" si="392"/>
        <v>2057</v>
      </c>
      <c r="F147">
        <f t="shared" si="393"/>
        <v>1128</v>
      </c>
      <c r="G147">
        <f t="shared" si="394"/>
        <v>55</v>
      </c>
      <c r="H147">
        <f t="shared" si="395"/>
        <v>2</v>
      </c>
      <c r="I147">
        <f t="shared" si="396"/>
        <v>1</v>
      </c>
      <c r="J147">
        <f t="shared" si="397"/>
        <v>5</v>
      </c>
      <c r="K147">
        <v>3</v>
      </c>
      <c r="L147">
        <v>4</v>
      </c>
      <c r="M147">
        <v>56</v>
      </c>
      <c r="N147">
        <v>56</v>
      </c>
      <c r="O147">
        <v>50</v>
      </c>
      <c r="P147">
        <v>47</v>
      </c>
      <c r="Q147">
        <v>36</v>
      </c>
      <c r="R147">
        <v>47</v>
      </c>
      <c r="S147">
        <v>28</v>
      </c>
      <c r="T147">
        <v>0</v>
      </c>
      <c r="U147">
        <f t="shared" si="398"/>
        <v>10</v>
      </c>
      <c r="V147">
        <v>19</v>
      </c>
      <c r="W147">
        <f t="shared" si="399"/>
        <v>2</v>
      </c>
      <c r="X147">
        <v>32</v>
      </c>
      <c r="Y147">
        <f t="shared" si="400"/>
        <v>0</v>
      </c>
      <c r="Z147">
        <v>45</v>
      </c>
      <c r="AA147">
        <v>75</v>
      </c>
      <c r="AB147">
        <v>80</v>
      </c>
      <c r="AC147">
        <v>88</v>
      </c>
      <c r="AD147">
        <v>80</v>
      </c>
      <c r="AE147">
        <v>78</v>
      </c>
      <c r="AF147">
        <v>79</v>
      </c>
      <c r="AG147">
        <v>85</v>
      </c>
      <c r="AH147">
        <v>0</v>
      </c>
      <c r="AI147">
        <v>59</v>
      </c>
      <c r="AJ147">
        <v>90</v>
      </c>
      <c r="AK147">
        <v>90</v>
      </c>
      <c r="AL147">
        <v>28</v>
      </c>
      <c r="AM147">
        <v>0</v>
      </c>
      <c r="AN147">
        <v>2</v>
      </c>
      <c r="AO147">
        <v>2</v>
      </c>
      <c r="AP147">
        <v>4</v>
      </c>
      <c r="AQ147">
        <v>4</v>
      </c>
      <c r="AR147">
        <f t="shared" si="357"/>
        <v>12</v>
      </c>
      <c r="AS147">
        <f>IF(AND(IFERROR(VLOOKUP(AJ147,Equip!$A:$N,13,FALSE),0)&gt;=5,IFERROR(VLOOKUP(AJ147,Equip!$A:$N,13,FALSE),0)&lt;=9),INT(VLOOKUP(AJ147,Equip!$A:$N,6,FALSE)*SQRT(AN147)),0)</f>
        <v>0</v>
      </c>
      <c r="AT147">
        <f>IF(AND(IFERROR(VLOOKUP(AK147,Equip!$A:$N,13,FALSE),0)&gt;=5,IFERROR(VLOOKUP(AK147,Equip!$A:$N,13,FALSE),0)&lt;=9),INT(VLOOKUP(AK147,Equip!$A:$N,6,FALSE)*SQRT(AO147)),0)</f>
        <v>0</v>
      </c>
      <c r="AU147">
        <f>IF(AND(IFERROR(VLOOKUP(AL147,Equip!$A:$N,13,FALSE),0)&gt;=5,IFERROR(VLOOKUP(AL147,Equip!$A:$N,13,FALSE),0)&lt;=9),INT(VLOOKUP(AL147,Equip!$A:$N,6,FALSE)*SQRT(AP147)),0)</f>
        <v>0</v>
      </c>
      <c r="AV147">
        <f>IF(AND(IFERROR(VLOOKUP(AM147,Equip!$A:$N,13,FALSE),0)&gt;=5,IFERROR(VLOOKUP(AM147,Equip!$A:$N,13,FALSE),0)&lt;=9),INT(VLOOKUP(AM147,Equip!$A:$N,6,FALSE)*SQRT(AQ147)),0)</f>
        <v>0</v>
      </c>
      <c r="AW147">
        <f t="shared" si="355"/>
        <v>0</v>
      </c>
      <c r="AX147">
        <f t="shared" si="356"/>
        <v>526</v>
      </c>
    </row>
    <row r="148" spans="1:50">
      <c r="A148">
        <v>56</v>
      </c>
      <c r="B148" t="s">
        <v>790</v>
      </c>
      <c r="C148" t="s">
        <v>790</v>
      </c>
      <c r="D148">
        <v>0</v>
      </c>
      <c r="E148">
        <v>2057</v>
      </c>
      <c r="F148">
        <v>1128</v>
      </c>
      <c r="G148">
        <v>56</v>
      </c>
      <c r="H148">
        <v>2</v>
      </c>
      <c r="I148">
        <v>1</v>
      </c>
      <c r="J148">
        <v>5</v>
      </c>
      <c r="K148">
        <v>3</v>
      </c>
      <c r="L148">
        <v>4</v>
      </c>
      <c r="M148">
        <v>44</v>
      </c>
      <c r="N148">
        <v>44</v>
      </c>
      <c r="O148">
        <v>40</v>
      </c>
      <c r="P148">
        <v>32</v>
      </c>
      <c r="Q148">
        <v>24</v>
      </c>
      <c r="R148">
        <v>34</v>
      </c>
      <c r="S148">
        <v>16</v>
      </c>
      <c r="T148">
        <v>0</v>
      </c>
      <c r="U148">
        <v>10</v>
      </c>
      <c r="V148">
        <v>12</v>
      </c>
      <c r="W148">
        <v>2</v>
      </c>
      <c r="X148">
        <v>10</v>
      </c>
      <c r="Y148">
        <v>0</v>
      </c>
      <c r="Z148">
        <v>40</v>
      </c>
      <c r="AA148">
        <v>65</v>
      </c>
      <c r="AB148">
        <v>54</v>
      </c>
      <c r="AC148">
        <v>49</v>
      </c>
      <c r="AD148">
        <v>54</v>
      </c>
      <c r="AE148">
        <v>49</v>
      </c>
      <c r="AF148">
        <v>49</v>
      </c>
      <c r="AG148">
        <v>59</v>
      </c>
      <c r="AH148">
        <v>0</v>
      </c>
      <c r="AI148">
        <v>39</v>
      </c>
      <c r="AJ148">
        <v>6</v>
      </c>
      <c r="AK148">
        <v>0</v>
      </c>
      <c r="AL148">
        <v>0</v>
      </c>
      <c r="AM148">
        <v>-1</v>
      </c>
      <c r="AN148">
        <v>2</v>
      </c>
      <c r="AO148">
        <v>2</v>
      </c>
      <c r="AP148">
        <v>2</v>
      </c>
      <c r="AQ148">
        <v>0</v>
      </c>
      <c r="AR148">
        <f t="shared" si="357"/>
        <v>6</v>
      </c>
      <c r="AS148">
        <f>IF(AND(IFERROR(VLOOKUP(AJ148,Equip!$A:$N,13,FALSE),0)&gt;=5,IFERROR(VLOOKUP(AJ148,Equip!$A:$N,13,FALSE),0)&lt;=9),INT(VLOOKUP(AJ148,Equip!$A:$N,6,FALSE)*SQRT(AN148)),0)</f>
        <v>0</v>
      </c>
      <c r="AT148">
        <f>IF(AND(IFERROR(VLOOKUP(AK148,Equip!$A:$N,13,FALSE),0)&gt;=5,IFERROR(VLOOKUP(AK148,Equip!$A:$N,13,FALSE),0)&lt;=9),INT(VLOOKUP(AK148,Equip!$A:$N,6,FALSE)*SQRT(AO148)),0)</f>
        <v>0</v>
      </c>
      <c r="AU148">
        <f>IF(AND(IFERROR(VLOOKUP(AL148,Equip!$A:$N,13,FALSE),0)&gt;=5,IFERROR(VLOOKUP(AL148,Equip!$A:$N,13,FALSE),0)&lt;=9),INT(VLOOKUP(AL148,Equip!$A:$N,6,FALSE)*SQRT(AP148)),0)</f>
        <v>0</v>
      </c>
      <c r="AV148">
        <f>IF(AND(IFERROR(VLOOKUP(AM148,Equip!$A:$N,13,FALSE),0)&gt;=5,IFERROR(VLOOKUP(AM148,Equip!$A:$N,13,FALSE),0)&lt;=9),INT(VLOOKUP(AM148,Equip!$A:$N,6,FALSE)*SQRT(AQ148)),0)</f>
        <v>0</v>
      </c>
      <c r="AW148">
        <f t="shared" si="355"/>
        <v>0</v>
      </c>
      <c r="AX148">
        <f t="shared" si="356"/>
        <v>348</v>
      </c>
    </row>
    <row r="149" spans="1:50">
      <c r="A149">
        <v>56</v>
      </c>
      <c r="B149" t="s">
        <v>790</v>
      </c>
      <c r="C149" t="s">
        <v>790</v>
      </c>
      <c r="D149">
        <v>1</v>
      </c>
      <c r="E149">
        <f t="shared" ref="E149:E150" si="401">E148</f>
        <v>2057</v>
      </c>
      <c r="F149">
        <f t="shared" ref="F149:F150" si="402">F148</f>
        <v>1128</v>
      </c>
      <c r="G149">
        <f t="shared" ref="G149:G150" si="403">G148</f>
        <v>56</v>
      </c>
      <c r="H149">
        <f t="shared" ref="H149:H150" si="404">H148</f>
        <v>2</v>
      </c>
      <c r="I149">
        <f t="shared" ref="I149:I150" si="405">I148</f>
        <v>1</v>
      </c>
      <c r="J149">
        <f t="shared" ref="J149:J150" si="406">J148</f>
        <v>5</v>
      </c>
      <c r="K149">
        <v>3</v>
      </c>
      <c r="L149">
        <v>4</v>
      </c>
      <c r="M149">
        <v>55</v>
      </c>
      <c r="N149">
        <v>55</v>
      </c>
      <c r="O149">
        <v>53</v>
      </c>
      <c r="P149">
        <v>46</v>
      </c>
      <c r="Q149">
        <v>29</v>
      </c>
      <c r="R149">
        <v>49</v>
      </c>
      <c r="S149">
        <v>29</v>
      </c>
      <c r="T149">
        <v>0</v>
      </c>
      <c r="U149">
        <f t="shared" ref="U149:U150" si="407">U148</f>
        <v>10</v>
      </c>
      <c r="V149">
        <v>22</v>
      </c>
      <c r="W149">
        <f t="shared" ref="W149:W150" si="408">W148</f>
        <v>2</v>
      </c>
      <c r="X149">
        <v>10</v>
      </c>
      <c r="Y149">
        <f t="shared" ref="Y149:Y150" si="409">Y148</f>
        <v>0</v>
      </c>
      <c r="Z149">
        <v>40</v>
      </c>
      <c r="AA149">
        <v>70</v>
      </c>
      <c r="AB149">
        <v>76</v>
      </c>
      <c r="AC149">
        <v>69</v>
      </c>
      <c r="AD149">
        <v>69</v>
      </c>
      <c r="AE149">
        <v>73</v>
      </c>
      <c r="AF149">
        <v>59</v>
      </c>
      <c r="AG149">
        <v>79</v>
      </c>
      <c r="AH149">
        <v>0</v>
      </c>
      <c r="AI149">
        <v>49</v>
      </c>
      <c r="AJ149">
        <v>6</v>
      </c>
      <c r="AK149">
        <v>10</v>
      </c>
      <c r="AL149">
        <v>15</v>
      </c>
      <c r="AM149">
        <v>0</v>
      </c>
      <c r="AN149">
        <v>2</v>
      </c>
      <c r="AO149">
        <v>2</v>
      </c>
      <c r="AP149">
        <v>2</v>
      </c>
      <c r="AQ149">
        <v>2</v>
      </c>
      <c r="AR149">
        <f t="shared" si="357"/>
        <v>8</v>
      </c>
      <c r="AS149">
        <f>IF(AND(IFERROR(VLOOKUP(AJ149,Equip!$A:$N,13,FALSE),0)&gt;=5,IFERROR(VLOOKUP(AJ149,Equip!$A:$N,13,FALSE),0)&lt;=9),INT(VLOOKUP(AJ149,Equip!$A:$N,6,FALSE)*SQRT(AN149)),0)</f>
        <v>0</v>
      </c>
      <c r="AT149">
        <f>IF(AND(IFERROR(VLOOKUP(AK149,Equip!$A:$N,13,FALSE),0)&gt;=5,IFERROR(VLOOKUP(AK149,Equip!$A:$N,13,FALSE),0)&lt;=9),INT(VLOOKUP(AK149,Equip!$A:$N,6,FALSE)*SQRT(AO149)),0)</f>
        <v>0</v>
      </c>
      <c r="AU149">
        <f>IF(AND(IFERROR(VLOOKUP(AL149,Equip!$A:$N,13,FALSE),0)&gt;=5,IFERROR(VLOOKUP(AL149,Equip!$A:$N,13,FALSE),0)&lt;=9),INT(VLOOKUP(AL149,Equip!$A:$N,6,FALSE)*SQRT(AP149)),0)</f>
        <v>0</v>
      </c>
      <c r="AV149">
        <f>IF(AND(IFERROR(VLOOKUP(AM149,Equip!$A:$N,13,FALSE),0)&gt;=5,IFERROR(VLOOKUP(AM149,Equip!$A:$N,13,FALSE),0)&lt;=9),INT(VLOOKUP(AM149,Equip!$A:$N,6,FALSE)*SQRT(AQ149)),0)</f>
        <v>0</v>
      </c>
      <c r="AW149">
        <f t="shared" si="355"/>
        <v>0</v>
      </c>
      <c r="AX149">
        <f t="shared" si="356"/>
        <v>470</v>
      </c>
    </row>
    <row r="150" spans="1:50">
      <c r="A150">
        <v>56</v>
      </c>
      <c r="B150" t="s">
        <v>790</v>
      </c>
      <c r="C150" t="s">
        <v>790</v>
      </c>
      <c r="D150">
        <v>2</v>
      </c>
      <c r="E150">
        <f t="shared" si="401"/>
        <v>2057</v>
      </c>
      <c r="F150">
        <f t="shared" si="402"/>
        <v>1128</v>
      </c>
      <c r="G150">
        <f t="shared" si="403"/>
        <v>56</v>
      </c>
      <c r="H150">
        <f t="shared" si="404"/>
        <v>2</v>
      </c>
      <c r="I150">
        <f t="shared" si="405"/>
        <v>1</v>
      </c>
      <c r="J150">
        <f t="shared" si="406"/>
        <v>5</v>
      </c>
      <c r="K150">
        <v>3</v>
      </c>
      <c r="L150">
        <v>4</v>
      </c>
      <c r="M150">
        <v>56</v>
      </c>
      <c r="N150">
        <v>56</v>
      </c>
      <c r="O150">
        <v>58</v>
      </c>
      <c r="P150">
        <v>56</v>
      </c>
      <c r="Q150">
        <v>48</v>
      </c>
      <c r="R150">
        <v>69</v>
      </c>
      <c r="S150">
        <v>47</v>
      </c>
      <c r="T150">
        <v>0</v>
      </c>
      <c r="U150">
        <f t="shared" si="407"/>
        <v>10</v>
      </c>
      <c r="V150">
        <v>46</v>
      </c>
      <c r="W150">
        <f t="shared" si="408"/>
        <v>2</v>
      </c>
      <c r="X150">
        <v>18</v>
      </c>
      <c r="Y150">
        <f t="shared" si="409"/>
        <v>0</v>
      </c>
      <c r="Z150">
        <v>45</v>
      </c>
      <c r="AA150">
        <v>75</v>
      </c>
      <c r="AB150">
        <v>80</v>
      </c>
      <c r="AC150">
        <v>84</v>
      </c>
      <c r="AD150">
        <v>83</v>
      </c>
      <c r="AE150">
        <v>78</v>
      </c>
      <c r="AF150">
        <v>70</v>
      </c>
      <c r="AG150">
        <v>83</v>
      </c>
      <c r="AH150">
        <v>0</v>
      </c>
      <c r="AI150">
        <v>60</v>
      </c>
      <c r="AJ150">
        <v>90</v>
      </c>
      <c r="AK150">
        <v>90</v>
      </c>
      <c r="AL150">
        <v>15</v>
      </c>
      <c r="AM150">
        <v>0</v>
      </c>
      <c r="AN150">
        <v>2</v>
      </c>
      <c r="AO150">
        <v>2</v>
      </c>
      <c r="AP150">
        <v>4</v>
      </c>
      <c r="AQ150">
        <v>4</v>
      </c>
      <c r="AR150">
        <f t="shared" si="357"/>
        <v>12</v>
      </c>
      <c r="AS150">
        <f>IF(AND(IFERROR(VLOOKUP(AJ150,Equip!$A:$N,13,FALSE),0)&gt;=5,IFERROR(VLOOKUP(AJ150,Equip!$A:$N,13,FALSE),0)&lt;=9),INT(VLOOKUP(AJ150,Equip!$A:$N,6,FALSE)*SQRT(AN150)),0)</f>
        <v>0</v>
      </c>
      <c r="AT150">
        <f>IF(AND(IFERROR(VLOOKUP(AK150,Equip!$A:$N,13,FALSE),0)&gt;=5,IFERROR(VLOOKUP(AK150,Equip!$A:$N,13,FALSE),0)&lt;=9),INT(VLOOKUP(AK150,Equip!$A:$N,6,FALSE)*SQRT(AO150)),0)</f>
        <v>0</v>
      </c>
      <c r="AU150">
        <f>IF(AND(IFERROR(VLOOKUP(AL150,Equip!$A:$N,13,FALSE),0)&gt;=5,IFERROR(VLOOKUP(AL150,Equip!$A:$N,13,FALSE),0)&lt;=9),INT(VLOOKUP(AL150,Equip!$A:$N,6,FALSE)*SQRT(AP150)),0)</f>
        <v>0</v>
      </c>
      <c r="AV150">
        <f>IF(AND(IFERROR(VLOOKUP(AM150,Equip!$A:$N,13,FALSE),0)&gt;=5,IFERROR(VLOOKUP(AM150,Equip!$A:$N,13,FALSE),0)&lt;=9),INT(VLOOKUP(AM150,Equip!$A:$N,6,FALSE)*SQRT(AQ150)),0)</f>
        <v>0</v>
      </c>
      <c r="AW150">
        <f t="shared" si="355"/>
        <v>0</v>
      </c>
      <c r="AX150">
        <f t="shared" si="356"/>
        <v>524</v>
      </c>
    </row>
    <row r="151" spans="1:50">
      <c r="A151">
        <v>57</v>
      </c>
      <c r="B151" t="s">
        <v>791</v>
      </c>
      <c r="C151" t="s">
        <v>791</v>
      </c>
      <c r="D151">
        <v>0</v>
      </c>
      <c r="E151">
        <v>2057</v>
      </c>
      <c r="F151">
        <v>1128</v>
      </c>
      <c r="G151">
        <v>57</v>
      </c>
      <c r="H151">
        <v>2</v>
      </c>
      <c r="I151">
        <v>1</v>
      </c>
      <c r="J151">
        <v>2</v>
      </c>
      <c r="K151">
        <v>3</v>
      </c>
      <c r="L151">
        <v>4</v>
      </c>
      <c r="M151">
        <v>44</v>
      </c>
      <c r="N151">
        <v>44</v>
      </c>
      <c r="O151">
        <v>40</v>
      </c>
      <c r="P151">
        <v>32</v>
      </c>
      <c r="Q151">
        <v>24</v>
      </c>
      <c r="R151">
        <v>34</v>
      </c>
      <c r="S151">
        <v>16</v>
      </c>
      <c r="T151">
        <v>0</v>
      </c>
      <c r="U151">
        <v>10</v>
      </c>
      <c r="V151">
        <v>10</v>
      </c>
      <c r="W151">
        <v>2</v>
      </c>
      <c r="X151">
        <v>10</v>
      </c>
      <c r="Y151">
        <v>0</v>
      </c>
      <c r="Z151">
        <v>40</v>
      </c>
      <c r="AA151">
        <v>65</v>
      </c>
      <c r="AB151">
        <v>54</v>
      </c>
      <c r="AC151">
        <v>49</v>
      </c>
      <c r="AD151">
        <v>54</v>
      </c>
      <c r="AE151">
        <v>49</v>
      </c>
      <c r="AF151">
        <v>49</v>
      </c>
      <c r="AG151">
        <v>59</v>
      </c>
      <c r="AH151">
        <v>0</v>
      </c>
      <c r="AI151">
        <v>39</v>
      </c>
      <c r="AJ151">
        <v>6</v>
      </c>
      <c r="AK151">
        <v>0</v>
      </c>
      <c r="AL151">
        <v>0</v>
      </c>
      <c r="AM151">
        <v>-1</v>
      </c>
      <c r="AN151">
        <v>2</v>
      </c>
      <c r="AO151">
        <v>2</v>
      </c>
      <c r="AP151">
        <v>2</v>
      </c>
      <c r="AQ151">
        <v>0</v>
      </c>
      <c r="AR151">
        <f t="shared" si="357"/>
        <v>6</v>
      </c>
      <c r="AS151">
        <f>IF(AND(IFERROR(VLOOKUP(AJ151,Equip!$A:$N,13,FALSE),0)&gt;=5,IFERROR(VLOOKUP(AJ151,Equip!$A:$N,13,FALSE),0)&lt;=9),INT(VLOOKUP(AJ151,Equip!$A:$N,6,FALSE)*SQRT(AN151)),0)</f>
        <v>0</v>
      </c>
      <c r="AT151">
        <f>IF(AND(IFERROR(VLOOKUP(AK151,Equip!$A:$N,13,FALSE),0)&gt;=5,IFERROR(VLOOKUP(AK151,Equip!$A:$N,13,FALSE),0)&lt;=9),INT(VLOOKUP(AK151,Equip!$A:$N,6,FALSE)*SQRT(AO151)),0)</f>
        <v>0</v>
      </c>
      <c r="AU151">
        <f>IF(AND(IFERROR(VLOOKUP(AL151,Equip!$A:$N,13,FALSE),0)&gt;=5,IFERROR(VLOOKUP(AL151,Equip!$A:$N,13,FALSE),0)&lt;=9),INT(VLOOKUP(AL151,Equip!$A:$N,6,FALSE)*SQRT(AP151)),0)</f>
        <v>0</v>
      </c>
      <c r="AV151">
        <f>IF(AND(IFERROR(VLOOKUP(AM151,Equip!$A:$N,13,FALSE),0)&gt;=5,IFERROR(VLOOKUP(AM151,Equip!$A:$N,13,FALSE),0)&lt;=9),INT(VLOOKUP(AM151,Equip!$A:$N,6,FALSE)*SQRT(AQ151)),0)</f>
        <v>0</v>
      </c>
      <c r="AW151">
        <f t="shared" si="355"/>
        <v>0</v>
      </c>
      <c r="AX151">
        <f t="shared" si="356"/>
        <v>348</v>
      </c>
    </row>
    <row r="152" spans="1:50">
      <c r="A152">
        <v>57</v>
      </c>
      <c r="B152" t="s">
        <v>791</v>
      </c>
      <c r="C152" t="s">
        <v>791</v>
      </c>
      <c r="D152">
        <v>1</v>
      </c>
      <c r="E152">
        <f t="shared" ref="E152:E153" si="410">E151</f>
        <v>2057</v>
      </c>
      <c r="F152">
        <f t="shared" ref="F152:F153" si="411">F151</f>
        <v>1128</v>
      </c>
      <c r="G152">
        <f t="shared" ref="G152:G153" si="412">G151</f>
        <v>57</v>
      </c>
      <c r="H152">
        <f t="shared" ref="H152:H153" si="413">H151</f>
        <v>2</v>
      </c>
      <c r="I152">
        <f t="shared" ref="I152:I153" si="414">I151</f>
        <v>1</v>
      </c>
      <c r="J152">
        <f t="shared" ref="J152:J153" si="415">J151</f>
        <v>2</v>
      </c>
      <c r="K152">
        <v>3</v>
      </c>
      <c r="L152">
        <v>4</v>
      </c>
      <c r="M152">
        <v>55</v>
      </c>
      <c r="N152">
        <v>55</v>
      </c>
      <c r="O152">
        <v>48</v>
      </c>
      <c r="P152">
        <v>42</v>
      </c>
      <c r="Q152">
        <v>29</v>
      </c>
      <c r="R152">
        <v>49</v>
      </c>
      <c r="S152">
        <v>24</v>
      </c>
      <c r="T152">
        <v>0</v>
      </c>
      <c r="U152">
        <f t="shared" ref="U152:U153" si="416">U151</f>
        <v>10</v>
      </c>
      <c r="V152">
        <v>22</v>
      </c>
      <c r="W152">
        <f t="shared" ref="W152:W153" si="417">W151</f>
        <v>2</v>
      </c>
      <c r="X152">
        <v>10</v>
      </c>
      <c r="Y152">
        <f t="shared" ref="Y152:Y153" si="418">Y151</f>
        <v>0</v>
      </c>
      <c r="Z152">
        <v>40</v>
      </c>
      <c r="AA152">
        <v>70</v>
      </c>
      <c r="AB152">
        <v>77</v>
      </c>
      <c r="AC152">
        <v>69</v>
      </c>
      <c r="AD152">
        <v>69</v>
      </c>
      <c r="AE152">
        <v>73</v>
      </c>
      <c r="AF152">
        <v>59</v>
      </c>
      <c r="AG152">
        <v>79</v>
      </c>
      <c r="AH152">
        <v>0</v>
      </c>
      <c r="AI152">
        <v>49</v>
      </c>
      <c r="AJ152">
        <v>6</v>
      </c>
      <c r="AK152">
        <v>10</v>
      </c>
      <c r="AL152">
        <v>15</v>
      </c>
      <c r="AM152">
        <v>0</v>
      </c>
      <c r="AN152">
        <v>2</v>
      </c>
      <c r="AO152">
        <v>2</v>
      </c>
      <c r="AP152">
        <v>2</v>
      </c>
      <c r="AQ152">
        <v>2</v>
      </c>
      <c r="AR152">
        <f t="shared" si="357"/>
        <v>8</v>
      </c>
      <c r="AS152">
        <f>IF(AND(IFERROR(VLOOKUP(AJ152,Equip!$A:$N,13,FALSE),0)&gt;=5,IFERROR(VLOOKUP(AJ152,Equip!$A:$N,13,FALSE),0)&lt;=9),INT(VLOOKUP(AJ152,Equip!$A:$N,6,FALSE)*SQRT(AN152)),0)</f>
        <v>0</v>
      </c>
      <c r="AT152">
        <f>IF(AND(IFERROR(VLOOKUP(AK152,Equip!$A:$N,13,FALSE),0)&gt;=5,IFERROR(VLOOKUP(AK152,Equip!$A:$N,13,FALSE),0)&lt;=9),INT(VLOOKUP(AK152,Equip!$A:$N,6,FALSE)*SQRT(AO152)),0)</f>
        <v>0</v>
      </c>
      <c r="AU152">
        <f>IF(AND(IFERROR(VLOOKUP(AL152,Equip!$A:$N,13,FALSE),0)&gt;=5,IFERROR(VLOOKUP(AL152,Equip!$A:$N,13,FALSE),0)&lt;=9),INT(VLOOKUP(AL152,Equip!$A:$N,6,FALSE)*SQRT(AP152)),0)</f>
        <v>0</v>
      </c>
      <c r="AV152">
        <f>IF(AND(IFERROR(VLOOKUP(AM152,Equip!$A:$N,13,FALSE),0)&gt;=5,IFERROR(VLOOKUP(AM152,Equip!$A:$N,13,FALSE),0)&lt;=9),INT(VLOOKUP(AM152,Equip!$A:$N,6,FALSE)*SQRT(AQ152)),0)</f>
        <v>0</v>
      </c>
      <c r="AW152">
        <f t="shared" si="355"/>
        <v>0</v>
      </c>
      <c r="AX152">
        <f t="shared" si="356"/>
        <v>471</v>
      </c>
    </row>
    <row r="153" spans="1:50">
      <c r="A153">
        <v>57</v>
      </c>
      <c r="B153" t="s">
        <v>791</v>
      </c>
      <c r="C153" t="s">
        <v>791</v>
      </c>
      <c r="D153">
        <v>2</v>
      </c>
      <c r="E153">
        <f t="shared" si="410"/>
        <v>2057</v>
      </c>
      <c r="F153">
        <f t="shared" si="411"/>
        <v>1128</v>
      </c>
      <c r="G153">
        <f t="shared" si="412"/>
        <v>57</v>
      </c>
      <c r="H153">
        <f t="shared" si="413"/>
        <v>2</v>
      </c>
      <c r="I153">
        <f t="shared" si="414"/>
        <v>1</v>
      </c>
      <c r="J153">
        <f t="shared" si="415"/>
        <v>2</v>
      </c>
      <c r="K153">
        <v>3</v>
      </c>
      <c r="L153">
        <v>4</v>
      </c>
      <c r="M153">
        <v>56</v>
      </c>
      <c r="N153">
        <v>56</v>
      </c>
      <c r="O153">
        <v>53</v>
      </c>
      <c r="P153">
        <v>47</v>
      </c>
      <c r="Q153">
        <v>34</v>
      </c>
      <c r="R153">
        <v>69</v>
      </c>
      <c r="S153">
        <v>26</v>
      </c>
      <c r="T153">
        <v>0</v>
      </c>
      <c r="U153">
        <f t="shared" si="416"/>
        <v>10</v>
      </c>
      <c r="V153">
        <v>43</v>
      </c>
      <c r="W153">
        <f t="shared" si="417"/>
        <v>2</v>
      </c>
      <c r="X153">
        <v>20</v>
      </c>
      <c r="Y153">
        <f t="shared" si="418"/>
        <v>0</v>
      </c>
      <c r="Z153">
        <v>45</v>
      </c>
      <c r="AA153">
        <v>75</v>
      </c>
      <c r="AB153">
        <v>82</v>
      </c>
      <c r="AC153">
        <v>84</v>
      </c>
      <c r="AD153">
        <v>74</v>
      </c>
      <c r="AE153">
        <v>79</v>
      </c>
      <c r="AF153">
        <v>72</v>
      </c>
      <c r="AG153">
        <v>83</v>
      </c>
      <c r="AH153">
        <v>0</v>
      </c>
      <c r="AI153">
        <v>57</v>
      </c>
      <c r="AJ153">
        <v>90</v>
      </c>
      <c r="AK153">
        <v>90</v>
      </c>
      <c r="AL153">
        <v>90</v>
      </c>
      <c r="AM153">
        <v>0</v>
      </c>
      <c r="AN153">
        <v>2</v>
      </c>
      <c r="AO153">
        <v>2</v>
      </c>
      <c r="AP153">
        <v>4</v>
      </c>
      <c r="AQ153">
        <v>4</v>
      </c>
      <c r="AR153">
        <f t="shared" si="357"/>
        <v>12</v>
      </c>
      <c r="AS153">
        <f>IF(AND(IFERROR(VLOOKUP(AJ153,Equip!$A:$N,13,FALSE),0)&gt;=5,IFERROR(VLOOKUP(AJ153,Equip!$A:$N,13,FALSE),0)&lt;=9),INT(VLOOKUP(AJ153,Equip!$A:$N,6,FALSE)*SQRT(AN153)),0)</f>
        <v>0</v>
      </c>
      <c r="AT153">
        <f>IF(AND(IFERROR(VLOOKUP(AK153,Equip!$A:$N,13,FALSE),0)&gt;=5,IFERROR(VLOOKUP(AK153,Equip!$A:$N,13,FALSE),0)&lt;=9),INT(VLOOKUP(AK153,Equip!$A:$N,6,FALSE)*SQRT(AO153)),0)</f>
        <v>0</v>
      </c>
      <c r="AU153">
        <f>IF(AND(IFERROR(VLOOKUP(AL153,Equip!$A:$N,13,FALSE),0)&gt;=5,IFERROR(VLOOKUP(AL153,Equip!$A:$N,13,FALSE),0)&lt;=9),INT(VLOOKUP(AL153,Equip!$A:$N,6,FALSE)*SQRT(AP153)),0)</f>
        <v>0</v>
      </c>
      <c r="AV153">
        <f>IF(AND(IFERROR(VLOOKUP(AM153,Equip!$A:$N,13,FALSE),0)&gt;=5,IFERROR(VLOOKUP(AM153,Equip!$A:$N,13,FALSE),0)&lt;=9),INT(VLOOKUP(AM153,Equip!$A:$N,6,FALSE)*SQRT(AQ153)),0)</f>
        <v>0</v>
      </c>
      <c r="AW153">
        <f t="shared" si="355"/>
        <v>0</v>
      </c>
      <c r="AX153">
        <f t="shared" si="356"/>
        <v>515</v>
      </c>
    </row>
    <row r="154" spans="1:50">
      <c r="A154">
        <v>58</v>
      </c>
      <c r="B154" t="s">
        <v>792</v>
      </c>
      <c r="C154" t="s">
        <v>792</v>
      </c>
      <c r="D154">
        <v>0</v>
      </c>
      <c r="E154">
        <v>2057</v>
      </c>
      <c r="F154">
        <v>1128</v>
      </c>
      <c r="G154">
        <v>58</v>
      </c>
      <c r="H154">
        <v>1</v>
      </c>
      <c r="I154">
        <v>1</v>
      </c>
      <c r="J154">
        <v>6</v>
      </c>
      <c r="K154">
        <v>3</v>
      </c>
      <c r="L154">
        <v>4</v>
      </c>
      <c r="M154">
        <v>44</v>
      </c>
      <c r="N154">
        <v>44</v>
      </c>
      <c r="O154">
        <v>40</v>
      </c>
      <c r="P154">
        <v>32</v>
      </c>
      <c r="Q154">
        <v>24</v>
      </c>
      <c r="R154">
        <v>34</v>
      </c>
      <c r="S154">
        <v>16</v>
      </c>
      <c r="T154">
        <v>0</v>
      </c>
      <c r="U154">
        <v>10</v>
      </c>
      <c r="V154">
        <v>12</v>
      </c>
      <c r="W154">
        <v>2</v>
      </c>
      <c r="X154">
        <v>10</v>
      </c>
      <c r="Y154">
        <v>0</v>
      </c>
      <c r="Z154">
        <v>40</v>
      </c>
      <c r="AA154">
        <v>65</v>
      </c>
      <c r="AB154">
        <v>61</v>
      </c>
      <c r="AC154">
        <v>49</v>
      </c>
      <c r="AD154">
        <v>54</v>
      </c>
      <c r="AE154">
        <v>49</v>
      </c>
      <c r="AF154">
        <v>49</v>
      </c>
      <c r="AG154">
        <v>59</v>
      </c>
      <c r="AH154">
        <v>0</v>
      </c>
      <c r="AI154">
        <v>39</v>
      </c>
      <c r="AJ154">
        <v>6</v>
      </c>
      <c r="AK154">
        <v>0</v>
      </c>
      <c r="AL154">
        <v>0</v>
      </c>
      <c r="AM154">
        <v>-1</v>
      </c>
      <c r="AN154">
        <v>2</v>
      </c>
      <c r="AO154">
        <v>2</v>
      </c>
      <c r="AP154">
        <v>2</v>
      </c>
      <c r="AQ154">
        <v>0</v>
      </c>
      <c r="AR154">
        <f t="shared" si="357"/>
        <v>6</v>
      </c>
      <c r="AS154">
        <f>IF(AND(IFERROR(VLOOKUP(AJ154,Equip!$A:$N,13,FALSE),0)&gt;=5,IFERROR(VLOOKUP(AJ154,Equip!$A:$N,13,FALSE),0)&lt;=9),INT(VLOOKUP(AJ154,Equip!$A:$N,6,FALSE)*SQRT(AN154)),0)</f>
        <v>0</v>
      </c>
      <c r="AT154">
        <f>IF(AND(IFERROR(VLOOKUP(AK154,Equip!$A:$N,13,FALSE),0)&gt;=5,IFERROR(VLOOKUP(AK154,Equip!$A:$N,13,FALSE),0)&lt;=9),INT(VLOOKUP(AK154,Equip!$A:$N,6,FALSE)*SQRT(AO154)),0)</f>
        <v>0</v>
      </c>
      <c r="AU154">
        <f>IF(AND(IFERROR(VLOOKUP(AL154,Equip!$A:$N,13,FALSE),0)&gt;=5,IFERROR(VLOOKUP(AL154,Equip!$A:$N,13,FALSE),0)&lt;=9),INT(VLOOKUP(AL154,Equip!$A:$N,6,FALSE)*SQRT(AP154)),0)</f>
        <v>0</v>
      </c>
      <c r="AV154">
        <f>IF(AND(IFERROR(VLOOKUP(AM154,Equip!$A:$N,13,FALSE),0)&gt;=5,IFERROR(VLOOKUP(AM154,Equip!$A:$N,13,FALSE),0)&lt;=9),INT(VLOOKUP(AM154,Equip!$A:$N,6,FALSE)*SQRT(AQ154)),0)</f>
        <v>0</v>
      </c>
      <c r="AW154">
        <f t="shared" si="355"/>
        <v>0</v>
      </c>
      <c r="AX154">
        <f t="shared" si="356"/>
        <v>355</v>
      </c>
    </row>
    <row r="155" spans="1:50">
      <c r="A155">
        <v>58</v>
      </c>
      <c r="B155" t="s">
        <v>792</v>
      </c>
      <c r="C155" t="s">
        <v>792</v>
      </c>
      <c r="D155">
        <v>1</v>
      </c>
      <c r="E155">
        <f t="shared" ref="E155:E156" si="419">E154</f>
        <v>2057</v>
      </c>
      <c r="F155">
        <f t="shared" ref="F155:F156" si="420">F154</f>
        <v>1128</v>
      </c>
      <c r="G155">
        <f t="shared" ref="G155:G156" si="421">G154</f>
        <v>58</v>
      </c>
      <c r="H155">
        <f t="shared" ref="H155:H156" si="422">H154</f>
        <v>1</v>
      </c>
      <c r="I155">
        <f t="shared" ref="I155:I156" si="423">I154</f>
        <v>1</v>
      </c>
      <c r="J155">
        <f t="shared" ref="J155:J156" si="424">J154</f>
        <v>6</v>
      </c>
      <c r="K155">
        <v>3</v>
      </c>
      <c r="L155">
        <v>4</v>
      </c>
      <c r="M155">
        <v>55</v>
      </c>
      <c r="N155">
        <v>55</v>
      </c>
      <c r="O155">
        <v>53</v>
      </c>
      <c r="P155">
        <v>49</v>
      </c>
      <c r="Q155">
        <v>34</v>
      </c>
      <c r="R155">
        <v>49</v>
      </c>
      <c r="S155">
        <v>29</v>
      </c>
      <c r="T155">
        <v>0</v>
      </c>
      <c r="U155">
        <f t="shared" ref="U155:U156" si="425">U154</f>
        <v>10</v>
      </c>
      <c r="V155">
        <v>22</v>
      </c>
      <c r="W155">
        <f t="shared" ref="W155:W156" si="426">W154</f>
        <v>2</v>
      </c>
      <c r="X155">
        <v>10</v>
      </c>
      <c r="Y155">
        <f t="shared" ref="Y155:Y156" si="427">Y154</f>
        <v>0</v>
      </c>
      <c r="Z155">
        <v>40</v>
      </c>
      <c r="AA155">
        <v>70</v>
      </c>
      <c r="AB155">
        <v>77</v>
      </c>
      <c r="AC155">
        <v>69</v>
      </c>
      <c r="AD155">
        <v>69</v>
      </c>
      <c r="AE155">
        <v>73</v>
      </c>
      <c r="AF155">
        <v>59</v>
      </c>
      <c r="AG155">
        <v>79</v>
      </c>
      <c r="AH155">
        <v>0</v>
      </c>
      <c r="AI155">
        <v>49</v>
      </c>
      <c r="AJ155">
        <v>6</v>
      </c>
      <c r="AK155">
        <v>10</v>
      </c>
      <c r="AL155">
        <v>15</v>
      </c>
      <c r="AM155">
        <v>0</v>
      </c>
      <c r="AN155">
        <v>2</v>
      </c>
      <c r="AO155">
        <v>2</v>
      </c>
      <c r="AP155">
        <v>2</v>
      </c>
      <c r="AQ155">
        <v>2</v>
      </c>
      <c r="AR155">
        <f t="shared" si="357"/>
        <v>8</v>
      </c>
      <c r="AS155">
        <f>IF(AND(IFERROR(VLOOKUP(AJ155,Equip!$A:$N,13,FALSE),0)&gt;=5,IFERROR(VLOOKUP(AJ155,Equip!$A:$N,13,FALSE),0)&lt;=9),INT(VLOOKUP(AJ155,Equip!$A:$N,6,FALSE)*SQRT(AN155)),0)</f>
        <v>0</v>
      </c>
      <c r="AT155">
        <f>IF(AND(IFERROR(VLOOKUP(AK155,Equip!$A:$N,13,FALSE),0)&gt;=5,IFERROR(VLOOKUP(AK155,Equip!$A:$N,13,FALSE),0)&lt;=9),INT(VLOOKUP(AK155,Equip!$A:$N,6,FALSE)*SQRT(AO155)),0)</f>
        <v>0</v>
      </c>
      <c r="AU155">
        <f>IF(AND(IFERROR(VLOOKUP(AL155,Equip!$A:$N,13,FALSE),0)&gt;=5,IFERROR(VLOOKUP(AL155,Equip!$A:$N,13,FALSE),0)&lt;=9),INT(VLOOKUP(AL155,Equip!$A:$N,6,FALSE)*SQRT(AP155)),0)</f>
        <v>0</v>
      </c>
      <c r="AV155">
        <f>IF(AND(IFERROR(VLOOKUP(AM155,Equip!$A:$N,13,FALSE),0)&gt;=5,IFERROR(VLOOKUP(AM155,Equip!$A:$N,13,FALSE),0)&lt;=9),INT(VLOOKUP(AM155,Equip!$A:$N,6,FALSE)*SQRT(AQ155)),0)</f>
        <v>0</v>
      </c>
      <c r="AW155">
        <f t="shared" si="355"/>
        <v>0</v>
      </c>
      <c r="AX155">
        <f t="shared" si="356"/>
        <v>471</v>
      </c>
    </row>
    <row r="156" spans="1:50">
      <c r="A156">
        <v>58</v>
      </c>
      <c r="B156" t="s">
        <v>792</v>
      </c>
      <c r="C156" t="s">
        <v>792</v>
      </c>
      <c r="D156">
        <v>2</v>
      </c>
      <c r="E156">
        <f t="shared" si="419"/>
        <v>2057</v>
      </c>
      <c r="F156">
        <f t="shared" si="420"/>
        <v>1128</v>
      </c>
      <c r="G156">
        <f t="shared" si="421"/>
        <v>58</v>
      </c>
      <c r="H156">
        <f t="shared" si="422"/>
        <v>1</v>
      </c>
      <c r="I156">
        <f t="shared" si="423"/>
        <v>1</v>
      </c>
      <c r="J156">
        <f t="shared" si="424"/>
        <v>6</v>
      </c>
      <c r="K156">
        <v>3</v>
      </c>
      <c r="L156">
        <v>4</v>
      </c>
      <c r="M156">
        <v>57</v>
      </c>
      <c r="N156">
        <v>57</v>
      </c>
      <c r="O156">
        <v>61</v>
      </c>
      <c r="P156">
        <v>55</v>
      </c>
      <c r="Q156">
        <v>61</v>
      </c>
      <c r="R156">
        <v>70</v>
      </c>
      <c r="S156">
        <v>29</v>
      </c>
      <c r="T156">
        <v>0</v>
      </c>
      <c r="U156">
        <f t="shared" si="425"/>
        <v>10</v>
      </c>
      <c r="V156">
        <v>44</v>
      </c>
      <c r="W156">
        <f t="shared" si="426"/>
        <v>2</v>
      </c>
      <c r="X156">
        <v>19</v>
      </c>
      <c r="Y156">
        <f t="shared" si="427"/>
        <v>0</v>
      </c>
      <c r="Z156">
        <v>45</v>
      </c>
      <c r="AA156">
        <v>75</v>
      </c>
      <c r="AB156">
        <v>84</v>
      </c>
      <c r="AC156">
        <v>84</v>
      </c>
      <c r="AD156">
        <v>72</v>
      </c>
      <c r="AE156">
        <v>77</v>
      </c>
      <c r="AF156">
        <v>70</v>
      </c>
      <c r="AG156">
        <v>84</v>
      </c>
      <c r="AH156">
        <v>0</v>
      </c>
      <c r="AI156">
        <v>58</v>
      </c>
      <c r="AJ156">
        <v>90</v>
      </c>
      <c r="AK156">
        <v>90</v>
      </c>
      <c r="AL156">
        <v>28</v>
      </c>
      <c r="AM156">
        <v>0</v>
      </c>
      <c r="AN156">
        <v>2</v>
      </c>
      <c r="AO156">
        <v>2</v>
      </c>
      <c r="AP156">
        <v>4</v>
      </c>
      <c r="AQ156">
        <v>4</v>
      </c>
      <c r="AR156">
        <f t="shared" si="357"/>
        <v>12</v>
      </c>
      <c r="AS156">
        <f>IF(AND(IFERROR(VLOOKUP(AJ156,Equip!$A:$N,13,FALSE),0)&gt;=5,IFERROR(VLOOKUP(AJ156,Equip!$A:$N,13,FALSE),0)&lt;=9),INT(VLOOKUP(AJ156,Equip!$A:$N,6,FALSE)*SQRT(AN156)),0)</f>
        <v>0</v>
      </c>
      <c r="AT156">
        <f>IF(AND(IFERROR(VLOOKUP(AK156,Equip!$A:$N,13,FALSE),0)&gt;=5,IFERROR(VLOOKUP(AK156,Equip!$A:$N,13,FALSE),0)&lt;=9),INT(VLOOKUP(AK156,Equip!$A:$N,6,FALSE)*SQRT(AO156)),0)</f>
        <v>0</v>
      </c>
      <c r="AU156">
        <f>IF(AND(IFERROR(VLOOKUP(AL156,Equip!$A:$N,13,FALSE),0)&gt;=5,IFERROR(VLOOKUP(AL156,Equip!$A:$N,13,FALSE),0)&lt;=9),INT(VLOOKUP(AL156,Equip!$A:$N,6,FALSE)*SQRT(AP156)),0)</f>
        <v>0</v>
      </c>
      <c r="AV156">
        <f>IF(AND(IFERROR(VLOOKUP(AM156,Equip!$A:$N,13,FALSE),0)&gt;=5,IFERROR(VLOOKUP(AM156,Equip!$A:$N,13,FALSE),0)&lt;=9),INT(VLOOKUP(AM156,Equip!$A:$N,6,FALSE)*SQRT(AQ156)),0)</f>
        <v>0</v>
      </c>
      <c r="AW156">
        <f t="shared" si="355"/>
        <v>0</v>
      </c>
      <c r="AX156">
        <f t="shared" si="356"/>
        <v>516</v>
      </c>
    </row>
    <row r="157" spans="1:50">
      <c r="A157">
        <v>59</v>
      </c>
      <c r="B157" t="s">
        <v>793</v>
      </c>
      <c r="C157" t="s">
        <v>793</v>
      </c>
      <c r="D157">
        <v>0</v>
      </c>
      <c r="E157">
        <v>2078</v>
      </c>
      <c r="F157">
        <v>1139</v>
      </c>
      <c r="G157">
        <v>59</v>
      </c>
      <c r="H157">
        <v>2</v>
      </c>
      <c r="I157">
        <v>1</v>
      </c>
      <c r="J157">
        <v>6</v>
      </c>
      <c r="K157">
        <v>3</v>
      </c>
      <c r="L157">
        <v>4</v>
      </c>
      <c r="M157">
        <v>45</v>
      </c>
      <c r="N157">
        <v>45</v>
      </c>
      <c r="O157">
        <v>40</v>
      </c>
      <c r="P157">
        <v>35</v>
      </c>
      <c r="Q157">
        <v>24</v>
      </c>
      <c r="R157">
        <v>35</v>
      </c>
      <c r="S157">
        <v>18</v>
      </c>
      <c r="T157">
        <v>0</v>
      </c>
      <c r="U157">
        <v>10</v>
      </c>
      <c r="V157">
        <v>13</v>
      </c>
      <c r="W157">
        <v>2</v>
      </c>
      <c r="X157">
        <v>10</v>
      </c>
      <c r="Y157">
        <v>0</v>
      </c>
      <c r="Z157">
        <v>40</v>
      </c>
      <c r="AA157">
        <v>65</v>
      </c>
      <c r="AB157">
        <v>59</v>
      </c>
      <c r="AC157">
        <v>59</v>
      </c>
      <c r="AD157">
        <v>66</v>
      </c>
      <c r="AE157">
        <v>49</v>
      </c>
      <c r="AF157">
        <v>49</v>
      </c>
      <c r="AG157">
        <v>69</v>
      </c>
      <c r="AH157">
        <v>0</v>
      </c>
      <c r="AI157">
        <v>39</v>
      </c>
      <c r="AJ157">
        <v>6</v>
      </c>
      <c r="AK157">
        <v>25</v>
      </c>
      <c r="AL157">
        <v>0</v>
      </c>
      <c r="AM157">
        <v>-1</v>
      </c>
      <c r="AN157">
        <v>2</v>
      </c>
      <c r="AO157">
        <v>2</v>
      </c>
      <c r="AP157">
        <v>2</v>
      </c>
      <c r="AQ157">
        <v>0</v>
      </c>
      <c r="AR157">
        <f t="shared" si="357"/>
        <v>6</v>
      </c>
      <c r="AS157">
        <f>IF(AND(IFERROR(VLOOKUP(AJ157,Equip!$A:$N,13,FALSE),0)&gt;=5,IFERROR(VLOOKUP(AJ157,Equip!$A:$N,13,FALSE),0)&lt;=9),INT(VLOOKUP(AJ157,Equip!$A:$N,6,FALSE)*SQRT(AN157)),0)</f>
        <v>0</v>
      </c>
      <c r="AT157">
        <f>IF(AND(IFERROR(VLOOKUP(AK157,Equip!$A:$N,13,FALSE),0)&gt;=5,IFERROR(VLOOKUP(AK157,Equip!$A:$N,13,FALSE),0)&lt;=9),INT(VLOOKUP(AK157,Equip!$A:$N,6,FALSE)*SQRT(AO157)),0)</f>
        <v>0</v>
      </c>
      <c r="AU157">
        <f>IF(AND(IFERROR(VLOOKUP(AL157,Equip!$A:$N,13,FALSE),0)&gt;=5,IFERROR(VLOOKUP(AL157,Equip!$A:$N,13,FALSE),0)&lt;=9),INT(VLOOKUP(AL157,Equip!$A:$N,6,FALSE)*SQRT(AP157)),0)</f>
        <v>0</v>
      </c>
      <c r="AV157">
        <f>IF(AND(IFERROR(VLOOKUP(AM157,Equip!$A:$N,13,FALSE),0)&gt;=5,IFERROR(VLOOKUP(AM157,Equip!$A:$N,13,FALSE),0)&lt;=9),INT(VLOOKUP(AM157,Equip!$A:$N,6,FALSE)*SQRT(AQ157)),0)</f>
        <v>0</v>
      </c>
      <c r="AW157">
        <f t="shared" si="355"/>
        <v>0</v>
      </c>
      <c r="AX157">
        <f t="shared" si="356"/>
        <v>386</v>
      </c>
    </row>
    <row r="158" spans="1:50">
      <c r="A158">
        <v>59</v>
      </c>
      <c r="B158" t="s">
        <v>793</v>
      </c>
      <c r="C158" t="s">
        <v>793</v>
      </c>
      <c r="D158">
        <v>1</v>
      </c>
      <c r="E158">
        <f>E157</f>
        <v>2078</v>
      </c>
      <c r="F158">
        <f t="shared" ref="F158" si="428">F157</f>
        <v>1139</v>
      </c>
      <c r="G158">
        <f t="shared" ref="G158" si="429">G157</f>
        <v>59</v>
      </c>
      <c r="H158">
        <f t="shared" ref="H158" si="430">H157</f>
        <v>2</v>
      </c>
      <c r="I158">
        <f t="shared" ref="I158" si="431">I157</f>
        <v>1</v>
      </c>
      <c r="J158">
        <f t="shared" ref="J158" si="432">J157</f>
        <v>6</v>
      </c>
      <c r="K158">
        <v>3</v>
      </c>
      <c r="L158">
        <v>4</v>
      </c>
      <c r="M158">
        <v>57</v>
      </c>
      <c r="N158">
        <v>57</v>
      </c>
      <c r="O158">
        <v>51</v>
      </c>
      <c r="P158">
        <v>48</v>
      </c>
      <c r="Q158">
        <v>30</v>
      </c>
      <c r="R158">
        <v>49</v>
      </c>
      <c r="S158">
        <v>25</v>
      </c>
      <c r="T158">
        <v>0</v>
      </c>
      <c r="U158">
        <f t="shared" ref="U158" si="433">U157</f>
        <v>10</v>
      </c>
      <c r="V158">
        <v>22</v>
      </c>
      <c r="W158">
        <f t="shared" ref="W158" si="434">W157</f>
        <v>2</v>
      </c>
      <c r="X158">
        <v>10</v>
      </c>
      <c r="Y158">
        <f t="shared" ref="Y158" si="435">Y157</f>
        <v>0</v>
      </c>
      <c r="Z158">
        <v>40</v>
      </c>
      <c r="AA158">
        <v>70</v>
      </c>
      <c r="AB158">
        <v>77</v>
      </c>
      <c r="AC158">
        <v>79</v>
      </c>
      <c r="AD158">
        <v>69</v>
      </c>
      <c r="AE158">
        <v>75</v>
      </c>
      <c r="AF158">
        <v>59</v>
      </c>
      <c r="AG158">
        <v>79</v>
      </c>
      <c r="AH158">
        <v>0</v>
      </c>
      <c r="AI158">
        <v>49</v>
      </c>
      <c r="AJ158">
        <v>6</v>
      </c>
      <c r="AK158">
        <v>15</v>
      </c>
      <c r="AL158">
        <v>25</v>
      </c>
      <c r="AM158">
        <v>0</v>
      </c>
      <c r="AN158">
        <v>2</v>
      </c>
      <c r="AO158">
        <v>2</v>
      </c>
      <c r="AP158">
        <v>2</v>
      </c>
      <c r="AQ158">
        <v>2</v>
      </c>
      <c r="AR158">
        <f t="shared" si="357"/>
        <v>8</v>
      </c>
      <c r="AS158">
        <f>IF(AND(IFERROR(VLOOKUP(AJ158,Equip!$A:$N,13,FALSE),0)&gt;=5,IFERROR(VLOOKUP(AJ158,Equip!$A:$N,13,FALSE),0)&lt;=9),INT(VLOOKUP(AJ158,Equip!$A:$N,6,FALSE)*SQRT(AN158)),0)</f>
        <v>0</v>
      </c>
      <c r="AT158">
        <f>IF(AND(IFERROR(VLOOKUP(AK158,Equip!$A:$N,13,FALSE),0)&gt;=5,IFERROR(VLOOKUP(AK158,Equip!$A:$N,13,FALSE),0)&lt;=9),INT(VLOOKUP(AK158,Equip!$A:$N,6,FALSE)*SQRT(AO158)),0)</f>
        <v>0</v>
      </c>
      <c r="AU158">
        <f>IF(AND(IFERROR(VLOOKUP(AL158,Equip!$A:$N,13,FALSE),0)&gt;=5,IFERROR(VLOOKUP(AL158,Equip!$A:$N,13,FALSE),0)&lt;=9),INT(VLOOKUP(AL158,Equip!$A:$N,6,FALSE)*SQRT(AP158)),0)</f>
        <v>0</v>
      </c>
      <c r="AV158">
        <f>IF(AND(IFERROR(VLOOKUP(AM158,Equip!$A:$N,13,FALSE),0)&gt;=5,IFERROR(VLOOKUP(AM158,Equip!$A:$N,13,FALSE),0)&lt;=9),INT(VLOOKUP(AM158,Equip!$A:$N,6,FALSE)*SQRT(AQ158)),0)</f>
        <v>0</v>
      </c>
      <c r="AW158">
        <f t="shared" si="355"/>
        <v>0</v>
      </c>
      <c r="AX158">
        <f t="shared" si="356"/>
        <v>485</v>
      </c>
    </row>
    <row r="159" spans="1:50">
      <c r="A159">
        <v>60</v>
      </c>
      <c r="B159" t="s">
        <v>794</v>
      </c>
      <c r="C159" t="s">
        <v>794</v>
      </c>
      <c r="D159">
        <v>0</v>
      </c>
      <c r="E159">
        <v>2078</v>
      </c>
      <c r="F159">
        <v>1139</v>
      </c>
      <c r="G159">
        <v>60</v>
      </c>
      <c r="H159">
        <v>2</v>
      </c>
      <c r="I159">
        <v>1</v>
      </c>
      <c r="J159">
        <v>6</v>
      </c>
      <c r="K159">
        <v>3</v>
      </c>
      <c r="L159">
        <v>4</v>
      </c>
      <c r="M159">
        <v>45</v>
      </c>
      <c r="N159">
        <v>45</v>
      </c>
      <c r="O159">
        <v>40</v>
      </c>
      <c r="P159">
        <v>35</v>
      </c>
      <c r="Q159">
        <v>24</v>
      </c>
      <c r="R159">
        <v>35</v>
      </c>
      <c r="S159">
        <v>18</v>
      </c>
      <c r="T159">
        <v>0</v>
      </c>
      <c r="U159">
        <v>10</v>
      </c>
      <c r="V159">
        <v>13</v>
      </c>
      <c r="W159">
        <v>2</v>
      </c>
      <c r="X159">
        <v>10</v>
      </c>
      <c r="Y159">
        <v>0</v>
      </c>
      <c r="Z159">
        <v>40</v>
      </c>
      <c r="AA159">
        <v>65</v>
      </c>
      <c r="AB159">
        <v>54</v>
      </c>
      <c r="AC159">
        <v>59</v>
      </c>
      <c r="AD159">
        <v>56</v>
      </c>
      <c r="AE159">
        <v>49</v>
      </c>
      <c r="AF159">
        <v>49</v>
      </c>
      <c r="AG159">
        <v>59</v>
      </c>
      <c r="AH159">
        <v>0</v>
      </c>
      <c r="AI159">
        <v>39</v>
      </c>
      <c r="AJ159">
        <v>6</v>
      </c>
      <c r="AK159">
        <v>25</v>
      </c>
      <c r="AL159">
        <v>0</v>
      </c>
      <c r="AM159">
        <v>-1</v>
      </c>
      <c r="AN159">
        <v>2</v>
      </c>
      <c r="AO159">
        <v>2</v>
      </c>
      <c r="AP159">
        <v>2</v>
      </c>
      <c r="AQ159">
        <v>0</v>
      </c>
      <c r="AR159">
        <f t="shared" si="357"/>
        <v>6</v>
      </c>
      <c r="AS159">
        <f>IF(AND(IFERROR(VLOOKUP(AJ159,Equip!$A:$N,13,FALSE),0)&gt;=5,IFERROR(VLOOKUP(AJ159,Equip!$A:$N,13,FALSE),0)&lt;=9),INT(VLOOKUP(AJ159,Equip!$A:$N,6,FALSE)*SQRT(AN159)),0)</f>
        <v>0</v>
      </c>
      <c r="AT159">
        <f>IF(AND(IFERROR(VLOOKUP(AK159,Equip!$A:$N,13,FALSE),0)&gt;=5,IFERROR(VLOOKUP(AK159,Equip!$A:$N,13,FALSE),0)&lt;=9),INT(VLOOKUP(AK159,Equip!$A:$N,6,FALSE)*SQRT(AO159)),0)</f>
        <v>0</v>
      </c>
      <c r="AU159">
        <f>IF(AND(IFERROR(VLOOKUP(AL159,Equip!$A:$N,13,FALSE),0)&gt;=5,IFERROR(VLOOKUP(AL159,Equip!$A:$N,13,FALSE),0)&lt;=9),INT(VLOOKUP(AL159,Equip!$A:$N,6,FALSE)*SQRT(AP159)),0)</f>
        <v>0</v>
      </c>
      <c r="AV159">
        <f>IF(AND(IFERROR(VLOOKUP(AM159,Equip!$A:$N,13,FALSE),0)&gt;=5,IFERROR(VLOOKUP(AM159,Equip!$A:$N,13,FALSE),0)&lt;=9),INT(VLOOKUP(AM159,Equip!$A:$N,6,FALSE)*SQRT(AQ159)),0)</f>
        <v>0</v>
      </c>
      <c r="AW159">
        <f t="shared" si="355"/>
        <v>0</v>
      </c>
      <c r="AX159">
        <f t="shared" si="356"/>
        <v>361</v>
      </c>
    </row>
    <row r="160" spans="1:50">
      <c r="A160">
        <v>60</v>
      </c>
      <c r="B160" t="s">
        <v>794</v>
      </c>
      <c r="C160" t="s">
        <v>794</v>
      </c>
      <c r="D160">
        <v>1</v>
      </c>
      <c r="E160">
        <f>E159</f>
        <v>2078</v>
      </c>
      <c r="F160">
        <f t="shared" ref="F160" si="436">F159</f>
        <v>1139</v>
      </c>
      <c r="G160">
        <f t="shared" ref="G160" si="437">G159</f>
        <v>60</v>
      </c>
      <c r="H160">
        <f t="shared" ref="H160" si="438">H159</f>
        <v>2</v>
      </c>
      <c r="I160">
        <f t="shared" ref="I160" si="439">I159</f>
        <v>1</v>
      </c>
      <c r="J160">
        <f t="shared" ref="J160" si="440">J159</f>
        <v>6</v>
      </c>
      <c r="K160">
        <v>3</v>
      </c>
      <c r="L160">
        <v>4</v>
      </c>
      <c r="M160">
        <v>57</v>
      </c>
      <c r="N160">
        <v>57</v>
      </c>
      <c r="O160">
        <v>51</v>
      </c>
      <c r="P160">
        <v>48</v>
      </c>
      <c r="Q160">
        <v>30</v>
      </c>
      <c r="R160">
        <v>49</v>
      </c>
      <c r="S160">
        <v>25</v>
      </c>
      <c r="T160">
        <v>0</v>
      </c>
      <c r="U160">
        <f t="shared" ref="U160" si="441">U159</f>
        <v>10</v>
      </c>
      <c r="V160">
        <v>22</v>
      </c>
      <c r="W160">
        <f t="shared" ref="W160" si="442">W159</f>
        <v>2</v>
      </c>
      <c r="X160">
        <v>10</v>
      </c>
      <c r="Y160">
        <f t="shared" ref="Y160" si="443">Y159</f>
        <v>0</v>
      </c>
      <c r="Z160">
        <v>40</v>
      </c>
      <c r="AA160">
        <v>70</v>
      </c>
      <c r="AB160">
        <v>77</v>
      </c>
      <c r="AC160">
        <v>79</v>
      </c>
      <c r="AD160">
        <v>69</v>
      </c>
      <c r="AE160">
        <v>75</v>
      </c>
      <c r="AF160">
        <v>59</v>
      </c>
      <c r="AG160">
        <v>79</v>
      </c>
      <c r="AH160">
        <v>0</v>
      </c>
      <c r="AI160">
        <v>49</v>
      </c>
      <c r="AJ160">
        <v>6</v>
      </c>
      <c r="AK160">
        <v>15</v>
      </c>
      <c r="AL160">
        <v>25</v>
      </c>
      <c r="AM160">
        <v>0</v>
      </c>
      <c r="AN160">
        <v>2</v>
      </c>
      <c r="AO160">
        <v>2</v>
      </c>
      <c r="AP160">
        <v>2</v>
      </c>
      <c r="AQ160">
        <v>2</v>
      </c>
      <c r="AR160">
        <f t="shared" si="357"/>
        <v>8</v>
      </c>
      <c r="AS160">
        <f>IF(AND(IFERROR(VLOOKUP(AJ160,Equip!$A:$N,13,FALSE),0)&gt;=5,IFERROR(VLOOKUP(AJ160,Equip!$A:$N,13,FALSE),0)&lt;=9),INT(VLOOKUP(AJ160,Equip!$A:$N,6,FALSE)*SQRT(AN160)),0)</f>
        <v>0</v>
      </c>
      <c r="AT160">
        <f>IF(AND(IFERROR(VLOOKUP(AK160,Equip!$A:$N,13,FALSE),0)&gt;=5,IFERROR(VLOOKUP(AK160,Equip!$A:$N,13,FALSE),0)&lt;=9),INT(VLOOKUP(AK160,Equip!$A:$N,6,FALSE)*SQRT(AO160)),0)</f>
        <v>0</v>
      </c>
      <c r="AU160">
        <f>IF(AND(IFERROR(VLOOKUP(AL160,Equip!$A:$N,13,FALSE),0)&gt;=5,IFERROR(VLOOKUP(AL160,Equip!$A:$N,13,FALSE),0)&lt;=9),INT(VLOOKUP(AL160,Equip!$A:$N,6,FALSE)*SQRT(AP160)),0)</f>
        <v>0</v>
      </c>
      <c r="AV160">
        <f>IF(AND(IFERROR(VLOOKUP(AM160,Equip!$A:$N,13,FALSE),0)&gt;=5,IFERROR(VLOOKUP(AM160,Equip!$A:$N,13,FALSE),0)&lt;=9),INT(VLOOKUP(AM160,Equip!$A:$N,6,FALSE)*SQRT(AQ160)),0)</f>
        <v>0</v>
      </c>
      <c r="AW160">
        <f t="shared" si="355"/>
        <v>0</v>
      </c>
      <c r="AX160">
        <f t="shared" si="356"/>
        <v>485</v>
      </c>
    </row>
    <row r="161" spans="1:50">
      <c r="A161">
        <v>61</v>
      </c>
      <c r="B161" t="s">
        <v>795</v>
      </c>
      <c r="C161" t="s">
        <v>795</v>
      </c>
      <c r="D161">
        <v>0</v>
      </c>
      <c r="E161">
        <v>2078</v>
      </c>
      <c r="F161">
        <v>1139</v>
      </c>
      <c r="G161">
        <v>61</v>
      </c>
      <c r="H161">
        <v>2</v>
      </c>
      <c r="I161">
        <v>1</v>
      </c>
      <c r="J161">
        <v>3</v>
      </c>
      <c r="K161">
        <v>3</v>
      </c>
      <c r="L161">
        <v>4</v>
      </c>
      <c r="M161">
        <v>45</v>
      </c>
      <c r="N161">
        <v>45</v>
      </c>
      <c r="O161">
        <v>40</v>
      </c>
      <c r="P161">
        <v>35</v>
      </c>
      <c r="Q161">
        <v>24</v>
      </c>
      <c r="R161">
        <v>35</v>
      </c>
      <c r="S161">
        <v>18</v>
      </c>
      <c r="T161">
        <v>0</v>
      </c>
      <c r="U161">
        <v>10</v>
      </c>
      <c r="V161">
        <v>13</v>
      </c>
      <c r="W161">
        <v>2</v>
      </c>
      <c r="X161">
        <v>10</v>
      </c>
      <c r="Y161">
        <v>0</v>
      </c>
      <c r="Z161">
        <v>40</v>
      </c>
      <c r="AA161">
        <v>65</v>
      </c>
      <c r="AB161">
        <v>62</v>
      </c>
      <c r="AC161">
        <v>49</v>
      </c>
      <c r="AD161">
        <v>56</v>
      </c>
      <c r="AE161">
        <v>49</v>
      </c>
      <c r="AF161">
        <v>49</v>
      </c>
      <c r="AG161">
        <v>59</v>
      </c>
      <c r="AH161">
        <v>0</v>
      </c>
      <c r="AI161">
        <v>39</v>
      </c>
      <c r="AJ161">
        <v>6</v>
      </c>
      <c r="AK161">
        <v>0</v>
      </c>
      <c r="AL161">
        <v>0</v>
      </c>
      <c r="AM161">
        <v>-1</v>
      </c>
      <c r="AN161">
        <v>2</v>
      </c>
      <c r="AO161">
        <v>2</v>
      </c>
      <c r="AP161">
        <v>2</v>
      </c>
      <c r="AQ161">
        <v>0</v>
      </c>
      <c r="AR161">
        <f t="shared" si="357"/>
        <v>6</v>
      </c>
      <c r="AS161">
        <f>IF(AND(IFERROR(VLOOKUP(AJ161,Equip!$A:$N,13,FALSE),0)&gt;=5,IFERROR(VLOOKUP(AJ161,Equip!$A:$N,13,FALSE),0)&lt;=9),INT(VLOOKUP(AJ161,Equip!$A:$N,6,FALSE)*SQRT(AN161)),0)</f>
        <v>0</v>
      </c>
      <c r="AT161">
        <f>IF(AND(IFERROR(VLOOKUP(AK161,Equip!$A:$N,13,FALSE),0)&gt;=5,IFERROR(VLOOKUP(AK161,Equip!$A:$N,13,FALSE),0)&lt;=9),INT(VLOOKUP(AK161,Equip!$A:$N,6,FALSE)*SQRT(AO161)),0)</f>
        <v>0</v>
      </c>
      <c r="AU161">
        <f>IF(AND(IFERROR(VLOOKUP(AL161,Equip!$A:$N,13,FALSE),0)&gt;=5,IFERROR(VLOOKUP(AL161,Equip!$A:$N,13,FALSE),0)&lt;=9),INT(VLOOKUP(AL161,Equip!$A:$N,6,FALSE)*SQRT(AP161)),0)</f>
        <v>0</v>
      </c>
      <c r="AV161">
        <f>IF(AND(IFERROR(VLOOKUP(AM161,Equip!$A:$N,13,FALSE),0)&gt;=5,IFERROR(VLOOKUP(AM161,Equip!$A:$N,13,FALSE),0)&lt;=9),INT(VLOOKUP(AM161,Equip!$A:$N,6,FALSE)*SQRT(AQ161)),0)</f>
        <v>0</v>
      </c>
      <c r="AW161">
        <f t="shared" si="355"/>
        <v>0</v>
      </c>
      <c r="AX161">
        <f t="shared" si="356"/>
        <v>359</v>
      </c>
    </row>
    <row r="162" spans="1:50">
      <c r="A162">
        <v>61</v>
      </c>
      <c r="B162" t="s">
        <v>795</v>
      </c>
      <c r="C162" t="s">
        <v>795</v>
      </c>
      <c r="D162">
        <v>1</v>
      </c>
      <c r="E162">
        <f t="shared" ref="E162:E163" si="444">E161</f>
        <v>2078</v>
      </c>
      <c r="F162">
        <f t="shared" ref="F162:F163" si="445">F161</f>
        <v>1139</v>
      </c>
      <c r="G162">
        <f t="shared" ref="G162:G163" si="446">G161</f>
        <v>61</v>
      </c>
      <c r="H162">
        <f t="shared" ref="H162:H163" si="447">H161</f>
        <v>2</v>
      </c>
      <c r="I162">
        <f t="shared" ref="I162:I163" si="448">I161</f>
        <v>1</v>
      </c>
      <c r="J162">
        <f t="shared" ref="J162:J163" si="449">J161</f>
        <v>3</v>
      </c>
      <c r="K162">
        <v>3</v>
      </c>
      <c r="L162">
        <v>4</v>
      </c>
      <c r="M162">
        <v>55</v>
      </c>
      <c r="N162">
        <v>55</v>
      </c>
      <c r="O162">
        <v>45</v>
      </c>
      <c r="P162">
        <v>50</v>
      </c>
      <c r="Q162">
        <v>28</v>
      </c>
      <c r="R162">
        <v>47</v>
      </c>
      <c r="S162">
        <v>60</v>
      </c>
      <c r="T162">
        <v>0</v>
      </c>
      <c r="U162">
        <f t="shared" ref="U162:U163" si="450">U161</f>
        <v>10</v>
      </c>
      <c r="V162">
        <v>20</v>
      </c>
      <c r="W162">
        <f t="shared" ref="W162:W163" si="451">W161</f>
        <v>2</v>
      </c>
      <c r="X162">
        <v>10</v>
      </c>
      <c r="Y162">
        <f t="shared" ref="Y162:Y163" si="452">Y161</f>
        <v>0</v>
      </c>
      <c r="Z162">
        <v>40</v>
      </c>
      <c r="AA162">
        <v>70</v>
      </c>
      <c r="AB162">
        <v>78</v>
      </c>
      <c r="AC162">
        <v>69</v>
      </c>
      <c r="AD162">
        <v>89</v>
      </c>
      <c r="AE162">
        <v>75</v>
      </c>
      <c r="AF162">
        <v>59</v>
      </c>
      <c r="AG162">
        <v>79</v>
      </c>
      <c r="AH162">
        <v>0</v>
      </c>
      <c r="AI162">
        <v>49</v>
      </c>
      <c r="AJ162">
        <v>10</v>
      </c>
      <c r="AK162">
        <v>30</v>
      </c>
      <c r="AL162">
        <v>15</v>
      </c>
      <c r="AM162">
        <v>0</v>
      </c>
      <c r="AN162">
        <v>2</v>
      </c>
      <c r="AO162">
        <v>2</v>
      </c>
      <c r="AP162">
        <v>2</v>
      </c>
      <c r="AQ162">
        <v>2</v>
      </c>
      <c r="AR162">
        <f t="shared" si="357"/>
        <v>8</v>
      </c>
      <c r="AS162">
        <f>IF(AND(IFERROR(VLOOKUP(AJ162,Equip!$A:$N,13,FALSE),0)&gt;=5,IFERROR(VLOOKUP(AJ162,Equip!$A:$N,13,FALSE),0)&lt;=9),INT(VLOOKUP(AJ162,Equip!$A:$N,6,FALSE)*SQRT(AN162)),0)</f>
        <v>0</v>
      </c>
      <c r="AT162">
        <f>IF(AND(IFERROR(VLOOKUP(AK162,Equip!$A:$N,13,FALSE),0)&gt;=5,IFERROR(VLOOKUP(AK162,Equip!$A:$N,13,FALSE),0)&lt;=9),INT(VLOOKUP(AK162,Equip!$A:$N,6,FALSE)*SQRT(AO162)),0)</f>
        <v>0</v>
      </c>
      <c r="AU162">
        <f>IF(AND(IFERROR(VLOOKUP(AL162,Equip!$A:$N,13,FALSE),0)&gt;=5,IFERROR(VLOOKUP(AL162,Equip!$A:$N,13,FALSE),0)&lt;=9),INT(VLOOKUP(AL162,Equip!$A:$N,6,FALSE)*SQRT(AP162)),0)</f>
        <v>0</v>
      </c>
      <c r="AV162">
        <f>IF(AND(IFERROR(VLOOKUP(AM162,Equip!$A:$N,13,FALSE),0)&gt;=5,IFERROR(VLOOKUP(AM162,Equip!$A:$N,13,FALSE),0)&lt;=9),INT(VLOOKUP(AM162,Equip!$A:$N,6,FALSE)*SQRT(AQ162)),0)</f>
        <v>0</v>
      </c>
      <c r="AW162">
        <f t="shared" si="355"/>
        <v>0</v>
      </c>
      <c r="AX162">
        <f t="shared" si="356"/>
        <v>494</v>
      </c>
    </row>
    <row r="163" spans="1:50">
      <c r="A163">
        <v>61</v>
      </c>
      <c r="B163" t="s">
        <v>795</v>
      </c>
      <c r="C163" t="s">
        <v>795</v>
      </c>
      <c r="D163">
        <v>2</v>
      </c>
      <c r="E163">
        <f t="shared" si="444"/>
        <v>2078</v>
      </c>
      <c r="F163">
        <f t="shared" si="445"/>
        <v>1139</v>
      </c>
      <c r="G163">
        <f t="shared" si="446"/>
        <v>61</v>
      </c>
      <c r="H163">
        <f t="shared" si="447"/>
        <v>2</v>
      </c>
      <c r="I163">
        <f t="shared" si="448"/>
        <v>1</v>
      </c>
      <c r="J163">
        <f t="shared" si="449"/>
        <v>3</v>
      </c>
      <c r="K163">
        <v>3</v>
      </c>
      <c r="L163">
        <v>4</v>
      </c>
      <c r="M163">
        <v>57</v>
      </c>
      <c r="N163">
        <v>57</v>
      </c>
      <c r="O163">
        <v>42</v>
      </c>
      <c r="P163">
        <v>58</v>
      </c>
      <c r="Q163">
        <v>34</v>
      </c>
      <c r="R163">
        <v>42</v>
      </c>
      <c r="S163">
        <v>72</v>
      </c>
      <c r="T163">
        <v>0</v>
      </c>
      <c r="U163">
        <f t="shared" si="450"/>
        <v>10</v>
      </c>
      <c r="V163">
        <v>13</v>
      </c>
      <c r="W163">
        <f t="shared" si="451"/>
        <v>2</v>
      </c>
      <c r="X163">
        <v>14</v>
      </c>
      <c r="Y163">
        <f t="shared" si="452"/>
        <v>0</v>
      </c>
      <c r="Z163">
        <v>45</v>
      </c>
      <c r="AA163">
        <v>80</v>
      </c>
      <c r="AB163">
        <v>77</v>
      </c>
      <c r="AC163">
        <v>84</v>
      </c>
      <c r="AD163">
        <v>106</v>
      </c>
      <c r="AE163">
        <v>78</v>
      </c>
      <c r="AF163">
        <v>64</v>
      </c>
      <c r="AG163">
        <v>81</v>
      </c>
      <c r="AH163">
        <v>0</v>
      </c>
      <c r="AI163">
        <v>55</v>
      </c>
      <c r="AJ163">
        <v>90</v>
      </c>
      <c r="AK163">
        <v>131</v>
      </c>
      <c r="AL163">
        <v>121</v>
      </c>
      <c r="AM163">
        <v>10</v>
      </c>
      <c r="AN163">
        <v>3</v>
      </c>
      <c r="AO163">
        <v>3</v>
      </c>
      <c r="AP163">
        <v>3</v>
      </c>
      <c r="AQ163">
        <v>3</v>
      </c>
      <c r="AR163">
        <f t="shared" si="357"/>
        <v>12</v>
      </c>
      <c r="AS163">
        <f>IF(AND(IFERROR(VLOOKUP(AJ163,Equip!$A:$N,13,FALSE),0)&gt;=5,IFERROR(VLOOKUP(AJ163,Equip!$A:$N,13,FALSE),0)&lt;=9),INT(VLOOKUP(AJ163,Equip!$A:$N,6,FALSE)*SQRT(AN163)),0)</f>
        <v>0</v>
      </c>
      <c r="AT163">
        <f>IF(AND(IFERROR(VLOOKUP(AK163,Equip!$A:$N,13,FALSE),0)&gt;=5,IFERROR(VLOOKUP(AK163,Equip!$A:$N,13,FALSE),0)&lt;=9),INT(VLOOKUP(AK163,Equip!$A:$N,6,FALSE)*SQRT(AO163)),0)</f>
        <v>0</v>
      </c>
      <c r="AU163">
        <f>IF(AND(IFERROR(VLOOKUP(AL163,Equip!$A:$N,13,FALSE),0)&gt;=5,IFERROR(VLOOKUP(AL163,Equip!$A:$N,13,FALSE),0)&lt;=9),INT(VLOOKUP(AL163,Equip!$A:$N,6,FALSE)*SQRT(AP163)),0)</f>
        <v>0</v>
      </c>
      <c r="AV163">
        <f>IF(AND(IFERROR(VLOOKUP(AM163,Equip!$A:$N,13,FALSE),0)&gt;=5,IFERROR(VLOOKUP(AM163,Equip!$A:$N,13,FALSE),0)&lt;=9),INT(VLOOKUP(AM163,Equip!$A:$N,6,FALSE)*SQRT(AQ163)),0)</f>
        <v>0</v>
      </c>
      <c r="AW163">
        <f t="shared" si="355"/>
        <v>0</v>
      </c>
      <c r="AX163">
        <f t="shared" si="356"/>
        <v>538</v>
      </c>
    </row>
    <row r="164" spans="1:50">
      <c r="A164">
        <v>62</v>
      </c>
      <c r="B164" t="s">
        <v>796</v>
      </c>
      <c r="C164" t="s">
        <v>796</v>
      </c>
      <c r="D164">
        <v>0</v>
      </c>
      <c r="E164">
        <v>2078</v>
      </c>
      <c r="F164">
        <v>1139</v>
      </c>
      <c r="G164">
        <v>62</v>
      </c>
      <c r="H164">
        <v>2</v>
      </c>
      <c r="I164">
        <v>1</v>
      </c>
      <c r="J164">
        <v>3</v>
      </c>
      <c r="K164">
        <v>3</v>
      </c>
      <c r="L164">
        <v>4</v>
      </c>
      <c r="M164">
        <v>45</v>
      </c>
      <c r="N164">
        <v>45</v>
      </c>
      <c r="O164">
        <v>40</v>
      </c>
      <c r="P164">
        <v>35</v>
      </c>
      <c r="Q164">
        <v>24</v>
      </c>
      <c r="R164">
        <v>35</v>
      </c>
      <c r="S164">
        <v>18</v>
      </c>
      <c r="T164">
        <v>0</v>
      </c>
      <c r="U164">
        <v>10</v>
      </c>
      <c r="V164">
        <v>13</v>
      </c>
      <c r="W164">
        <v>2</v>
      </c>
      <c r="X164">
        <v>10</v>
      </c>
      <c r="Y164">
        <v>0</v>
      </c>
      <c r="Z164">
        <v>40</v>
      </c>
      <c r="AA164">
        <v>65</v>
      </c>
      <c r="AB164">
        <v>54</v>
      </c>
      <c r="AC164">
        <v>49</v>
      </c>
      <c r="AD164">
        <v>56</v>
      </c>
      <c r="AE164">
        <v>49</v>
      </c>
      <c r="AF164">
        <v>49</v>
      </c>
      <c r="AG164">
        <v>59</v>
      </c>
      <c r="AH164">
        <v>0</v>
      </c>
      <c r="AI164">
        <v>39</v>
      </c>
      <c r="AJ164">
        <v>6</v>
      </c>
      <c r="AK164">
        <v>0</v>
      </c>
      <c r="AL164">
        <v>0</v>
      </c>
      <c r="AM164">
        <v>-1</v>
      </c>
      <c r="AN164">
        <v>2</v>
      </c>
      <c r="AO164">
        <v>2</v>
      </c>
      <c r="AP164">
        <v>2</v>
      </c>
      <c r="AQ164">
        <v>0</v>
      </c>
      <c r="AR164">
        <f t="shared" si="357"/>
        <v>6</v>
      </c>
      <c r="AS164">
        <f>IF(AND(IFERROR(VLOOKUP(AJ164,Equip!$A:$N,13,FALSE),0)&gt;=5,IFERROR(VLOOKUP(AJ164,Equip!$A:$N,13,FALSE),0)&lt;=9),INT(VLOOKUP(AJ164,Equip!$A:$N,6,FALSE)*SQRT(AN164)),0)</f>
        <v>0</v>
      </c>
      <c r="AT164">
        <f>IF(AND(IFERROR(VLOOKUP(AK164,Equip!$A:$N,13,FALSE),0)&gt;=5,IFERROR(VLOOKUP(AK164,Equip!$A:$N,13,FALSE),0)&lt;=9),INT(VLOOKUP(AK164,Equip!$A:$N,6,FALSE)*SQRT(AO164)),0)</f>
        <v>0</v>
      </c>
      <c r="AU164">
        <f>IF(AND(IFERROR(VLOOKUP(AL164,Equip!$A:$N,13,FALSE),0)&gt;=5,IFERROR(VLOOKUP(AL164,Equip!$A:$N,13,FALSE),0)&lt;=9),INT(VLOOKUP(AL164,Equip!$A:$N,6,FALSE)*SQRT(AP164)),0)</f>
        <v>0</v>
      </c>
      <c r="AV164">
        <f>IF(AND(IFERROR(VLOOKUP(AM164,Equip!$A:$N,13,FALSE),0)&gt;=5,IFERROR(VLOOKUP(AM164,Equip!$A:$N,13,FALSE),0)&lt;=9),INT(VLOOKUP(AM164,Equip!$A:$N,6,FALSE)*SQRT(AQ164)),0)</f>
        <v>0</v>
      </c>
      <c r="AW164">
        <f t="shared" si="355"/>
        <v>0</v>
      </c>
      <c r="AX164">
        <f t="shared" si="356"/>
        <v>351</v>
      </c>
    </row>
    <row r="165" spans="1:50">
      <c r="A165">
        <v>62</v>
      </c>
      <c r="B165" t="s">
        <v>796</v>
      </c>
      <c r="C165" t="s">
        <v>796</v>
      </c>
      <c r="D165">
        <v>1</v>
      </c>
      <c r="E165">
        <f t="shared" ref="E165:E166" si="453">E164</f>
        <v>2078</v>
      </c>
      <c r="F165">
        <f t="shared" ref="F165:F166" si="454">F164</f>
        <v>1139</v>
      </c>
      <c r="G165">
        <f t="shared" ref="G165:G166" si="455">G164</f>
        <v>62</v>
      </c>
      <c r="H165">
        <f t="shared" ref="H165:H166" si="456">H164</f>
        <v>2</v>
      </c>
      <c r="I165">
        <f t="shared" ref="I165:I166" si="457">I164</f>
        <v>1</v>
      </c>
      <c r="J165">
        <f t="shared" ref="J165:J166" si="458">J164</f>
        <v>3</v>
      </c>
      <c r="K165">
        <v>3</v>
      </c>
      <c r="L165">
        <v>4</v>
      </c>
      <c r="M165">
        <v>57</v>
      </c>
      <c r="N165">
        <v>57</v>
      </c>
      <c r="O165">
        <v>51</v>
      </c>
      <c r="P165">
        <v>51</v>
      </c>
      <c r="Q165">
        <v>29</v>
      </c>
      <c r="R165">
        <v>49</v>
      </c>
      <c r="S165">
        <v>30</v>
      </c>
      <c r="T165">
        <v>0</v>
      </c>
      <c r="U165">
        <f t="shared" ref="U165:U166" si="459">U164</f>
        <v>10</v>
      </c>
      <c r="V165">
        <v>22</v>
      </c>
      <c r="W165">
        <f t="shared" ref="W165:W166" si="460">W164</f>
        <v>2</v>
      </c>
      <c r="X165">
        <v>10</v>
      </c>
      <c r="Y165">
        <f t="shared" ref="Y165:Y166" si="461">Y164</f>
        <v>0</v>
      </c>
      <c r="Z165">
        <v>40</v>
      </c>
      <c r="AA165">
        <v>70</v>
      </c>
      <c r="AB165">
        <v>78</v>
      </c>
      <c r="AC165">
        <v>69</v>
      </c>
      <c r="AD165">
        <v>69</v>
      </c>
      <c r="AE165">
        <v>75</v>
      </c>
      <c r="AF165">
        <v>59</v>
      </c>
      <c r="AG165">
        <v>79</v>
      </c>
      <c r="AH165">
        <v>0</v>
      </c>
      <c r="AI165">
        <v>49</v>
      </c>
      <c r="AJ165">
        <v>6</v>
      </c>
      <c r="AK165">
        <v>10</v>
      </c>
      <c r="AL165">
        <v>15</v>
      </c>
      <c r="AM165">
        <v>0</v>
      </c>
      <c r="AN165">
        <v>2</v>
      </c>
      <c r="AO165">
        <v>2</v>
      </c>
      <c r="AP165">
        <v>2</v>
      </c>
      <c r="AQ165">
        <v>2</v>
      </c>
      <c r="AR165">
        <f t="shared" si="357"/>
        <v>8</v>
      </c>
      <c r="AS165">
        <f>IF(AND(IFERROR(VLOOKUP(AJ165,Equip!$A:$N,13,FALSE),0)&gt;=5,IFERROR(VLOOKUP(AJ165,Equip!$A:$N,13,FALSE),0)&lt;=9),INT(VLOOKUP(AJ165,Equip!$A:$N,6,FALSE)*SQRT(AN165)),0)</f>
        <v>0</v>
      </c>
      <c r="AT165">
        <f>IF(AND(IFERROR(VLOOKUP(AK165,Equip!$A:$N,13,FALSE),0)&gt;=5,IFERROR(VLOOKUP(AK165,Equip!$A:$N,13,FALSE),0)&lt;=9),INT(VLOOKUP(AK165,Equip!$A:$N,6,FALSE)*SQRT(AO165)),0)</f>
        <v>0</v>
      </c>
      <c r="AU165">
        <f>IF(AND(IFERROR(VLOOKUP(AL165,Equip!$A:$N,13,FALSE),0)&gt;=5,IFERROR(VLOOKUP(AL165,Equip!$A:$N,13,FALSE),0)&lt;=9),INT(VLOOKUP(AL165,Equip!$A:$N,6,FALSE)*SQRT(AP165)),0)</f>
        <v>0</v>
      </c>
      <c r="AV165">
        <f>IF(AND(IFERROR(VLOOKUP(AM165,Equip!$A:$N,13,FALSE),0)&gt;=5,IFERROR(VLOOKUP(AM165,Equip!$A:$N,13,FALSE),0)&lt;=9),INT(VLOOKUP(AM165,Equip!$A:$N,6,FALSE)*SQRT(AQ165)),0)</f>
        <v>0</v>
      </c>
      <c r="AW165">
        <f t="shared" si="355"/>
        <v>0</v>
      </c>
      <c r="AX165">
        <f t="shared" si="356"/>
        <v>476</v>
      </c>
    </row>
    <row r="166" spans="1:50">
      <c r="A166">
        <v>62</v>
      </c>
      <c r="B166" t="s">
        <v>796</v>
      </c>
      <c r="C166" t="s">
        <v>796</v>
      </c>
      <c r="D166">
        <v>2</v>
      </c>
      <c r="E166">
        <f t="shared" si="453"/>
        <v>2078</v>
      </c>
      <c r="F166">
        <f t="shared" si="454"/>
        <v>1139</v>
      </c>
      <c r="G166">
        <f t="shared" si="455"/>
        <v>62</v>
      </c>
      <c r="H166">
        <f t="shared" si="456"/>
        <v>2</v>
      </c>
      <c r="I166">
        <f t="shared" si="457"/>
        <v>1</v>
      </c>
      <c r="J166">
        <f t="shared" si="458"/>
        <v>3</v>
      </c>
      <c r="K166">
        <v>3</v>
      </c>
      <c r="L166">
        <v>4</v>
      </c>
      <c r="M166">
        <v>57</v>
      </c>
      <c r="N166">
        <v>57</v>
      </c>
      <c r="O166">
        <v>64</v>
      </c>
      <c r="P166">
        <v>65</v>
      </c>
      <c r="Q166">
        <v>65</v>
      </c>
      <c r="R166">
        <v>80</v>
      </c>
      <c r="S166">
        <v>38</v>
      </c>
      <c r="T166">
        <v>0</v>
      </c>
      <c r="U166">
        <f t="shared" si="459"/>
        <v>10</v>
      </c>
      <c r="V166">
        <v>51</v>
      </c>
      <c r="W166">
        <f t="shared" si="460"/>
        <v>2</v>
      </c>
      <c r="X166">
        <v>19</v>
      </c>
      <c r="Y166">
        <f t="shared" si="461"/>
        <v>0</v>
      </c>
      <c r="Z166">
        <v>45</v>
      </c>
      <c r="AA166">
        <v>80</v>
      </c>
      <c r="AB166">
        <v>85</v>
      </c>
      <c r="AC166">
        <v>86</v>
      </c>
      <c r="AD166">
        <v>70</v>
      </c>
      <c r="AE166">
        <v>78</v>
      </c>
      <c r="AF166">
        <v>68</v>
      </c>
      <c r="AG166">
        <v>80</v>
      </c>
      <c r="AH166">
        <v>0</v>
      </c>
      <c r="AI166">
        <v>62</v>
      </c>
      <c r="AJ166">
        <v>90</v>
      </c>
      <c r="AK166">
        <v>129</v>
      </c>
      <c r="AL166">
        <v>74</v>
      </c>
      <c r="AM166">
        <v>88</v>
      </c>
      <c r="AN166">
        <v>2</v>
      </c>
      <c r="AO166">
        <v>2</v>
      </c>
      <c r="AP166">
        <v>4</v>
      </c>
      <c r="AQ166">
        <v>4</v>
      </c>
      <c r="AR166">
        <f t="shared" si="357"/>
        <v>12</v>
      </c>
      <c r="AS166">
        <f>IF(AND(IFERROR(VLOOKUP(AJ166,Equip!$A:$N,13,FALSE),0)&gt;=5,IFERROR(VLOOKUP(AJ166,Equip!$A:$N,13,FALSE),0)&lt;=9),INT(VLOOKUP(AJ166,Equip!$A:$N,6,FALSE)*SQRT(AN166)),0)</f>
        <v>0</v>
      </c>
      <c r="AT166">
        <f>IF(AND(IFERROR(VLOOKUP(AK166,Equip!$A:$N,13,FALSE),0)&gt;=5,IFERROR(VLOOKUP(AK166,Equip!$A:$N,13,FALSE),0)&lt;=9),INT(VLOOKUP(AK166,Equip!$A:$N,6,FALSE)*SQRT(AO166)),0)</f>
        <v>0</v>
      </c>
      <c r="AU166">
        <f>IF(AND(IFERROR(VLOOKUP(AL166,Equip!$A:$N,13,FALSE),0)&gt;=5,IFERROR(VLOOKUP(AL166,Equip!$A:$N,13,FALSE),0)&lt;=9),INT(VLOOKUP(AL166,Equip!$A:$N,6,FALSE)*SQRT(AP166)),0)</f>
        <v>0</v>
      </c>
      <c r="AV166">
        <f>IF(AND(IFERROR(VLOOKUP(AM166,Equip!$A:$N,13,FALSE),0)&gt;=5,IFERROR(VLOOKUP(AM166,Equip!$A:$N,13,FALSE),0)&lt;=9),INT(VLOOKUP(AM166,Equip!$A:$N,6,FALSE)*SQRT(AQ166)),0)</f>
        <v>0</v>
      </c>
      <c r="AW166">
        <f t="shared" si="355"/>
        <v>0</v>
      </c>
      <c r="AX166">
        <f t="shared" si="356"/>
        <v>518</v>
      </c>
    </row>
    <row r="167" spans="1:50">
      <c r="A167">
        <v>63</v>
      </c>
      <c r="B167" t="s">
        <v>797</v>
      </c>
      <c r="C167" t="s">
        <v>797</v>
      </c>
      <c r="D167">
        <v>0</v>
      </c>
      <c r="E167">
        <v>2057</v>
      </c>
      <c r="F167">
        <v>1128</v>
      </c>
      <c r="G167">
        <v>63</v>
      </c>
      <c r="H167">
        <v>1</v>
      </c>
      <c r="I167">
        <v>1</v>
      </c>
      <c r="J167">
        <v>0</v>
      </c>
      <c r="K167">
        <v>3</v>
      </c>
      <c r="L167">
        <v>4</v>
      </c>
      <c r="M167">
        <v>44</v>
      </c>
      <c r="N167">
        <v>44</v>
      </c>
      <c r="O167">
        <v>32</v>
      </c>
      <c r="P167">
        <v>36</v>
      </c>
      <c r="Q167">
        <v>24</v>
      </c>
      <c r="R167">
        <v>36</v>
      </c>
      <c r="S167">
        <v>20</v>
      </c>
      <c r="T167">
        <v>0</v>
      </c>
      <c r="U167">
        <v>10</v>
      </c>
      <c r="V167">
        <v>20</v>
      </c>
      <c r="W167">
        <v>2</v>
      </c>
      <c r="X167">
        <v>10</v>
      </c>
      <c r="Y167">
        <v>0</v>
      </c>
      <c r="Z167">
        <v>40</v>
      </c>
      <c r="AA167">
        <v>60</v>
      </c>
      <c r="AB167">
        <v>59</v>
      </c>
      <c r="AC167">
        <v>59</v>
      </c>
      <c r="AD167">
        <v>67</v>
      </c>
      <c r="AE167">
        <v>59</v>
      </c>
      <c r="AF167">
        <v>49</v>
      </c>
      <c r="AG167">
        <v>69</v>
      </c>
      <c r="AH167">
        <v>0</v>
      </c>
      <c r="AI167">
        <v>59</v>
      </c>
      <c r="AJ167">
        <v>6</v>
      </c>
      <c r="AK167">
        <v>25</v>
      </c>
      <c r="AL167">
        <v>0</v>
      </c>
      <c r="AM167">
        <v>-1</v>
      </c>
      <c r="AN167">
        <v>3</v>
      </c>
      <c r="AO167">
        <v>3</v>
      </c>
      <c r="AP167">
        <v>3</v>
      </c>
      <c r="AQ167">
        <v>0</v>
      </c>
      <c r="AR167">
        <f t="shared" si="357"/>
        <v>9</v>
      </c>
      <c r="AS167">
        <f>IF(AND(IFERROR(VLOOKUP(AJ167,Equip!$A:$N,13,FALSE),0)&gt;=5,IFERROR(VLOOKUP(AJ167,Equip!$A:$N,13,FALSE),0)&lt;=9),INT(VLOOKUP(AJ167,Equip!$A:$N,6,FALSE)*SQRT(AN167)),0)</f>
        <v>0</v>
      </c>
      <c r="AT167">
        <f>IF(AND(IFERROR(VLOOKUP(AK167,Equip!$A:$N,13,FALSE),0)&gt;=5,IFERROR(VLOOKUP(AK167,Equip!$A:$N,13,FALSE),0)&lt;=9),INT(VLOOKUP(AK167,Equip!$A:$N,6,FALSE)*SQRT(AO167)),0)</f>
        <v>0</v>
      </c>
      <c r="AU167">
        <f>IF(AND(IFERROR(VLOOKUP(AL167,Equip!$A:$N,13,FALSE),0)&gt;=5,IFERROR(VLOOKUP(AL167,Equip!$A:$N,13,FALSE),0)&lt;=9),INT(VLOOKUP(AL167,Equip!$A:$N,6,FALSE)*SQRT(AP167)),0)</f>
        <v>0</v>
      </c>
      <c r="AV167">
        <f>IF(AND(IFERROR(VLOOKUP(AM167,Equip!$A:$N,13,FALSE),0)&gt;=5,IFERROR(VLOOKUP(AM167,Equip!$A:$N,13,FALSE),0)&lt;=9),INT(VLOOKUP(AM167,Equip!$A:$N,6,FALSE)*SQRT(AQ167)),0)</f>
        <v>0</v>
      </c>
      <c r="AW167">
        <f t="shared" si="355"/>
        <v>0</v>
      </c>
      <c r="AX167">
        <f t="shared" si="356"/>
        <v>416</v>
      </c>
    </row>
    <row r="168" spans="1:50">
      <c r="A168">
        <v>63</v>
      </c>
      <c r="B168" t="s">
        <v>797</v>
      </c>
      <c r="C168" t="s">
        <v>797</v>
      </c>
      <c r="D168">
        <v>1</v>
      </c>
      <c r="E168">
        <f t="shared" ref="E168:E169" si="462">E167</f>
        <v>2057</v>
      </c>
      <c r="F168">
        <f t="shared" ref="F168:F169" si="463">F167</f>
        <v>1128</v>
      </c>
      <c r="G168">
        <f t="shared" ref="G168:G169" si="464">G167</f>
        <v>63</v>
      </c>
      <c r="H168">
        <f t="shared" ref="H168:H169" si="465">H167</f>
        <v>1</v>
      </c>
      <c r="I168">
        <f t="shared" ref="I168:I169" si="466">I167</f>
        <v>1</v>
      </c>
      <c r="J168">
        <f t="shared" ref="J168:J169" si="467">J167</f>
        <v>0</v>
      </c>
      <c r="K168">
        <v>3</v>
      </c>
      <c r="L168">
        <v>4</v>
      </c>
      <c r="M168">
        <v>56</v>
      </c>
      <c r="N168">
        <v>56</v>
      </c>
      <c r="O168">
        <v>42</v>
      </c>
      <c r="P168">
        <v>46</v>
      </c>
      <c r="Q168">
        <v>24</v>
      </c>
      <c r="R168">
        <v>41</v>
      </c>
      <c r="S168">
        <v>24</v>
      </c>
      <c r="T168">
        <v>0</v>
      </c>
      <c r="U168">
        <f t="shared" ref="U168:U169" si="468">U167</f>
        <v>10</v>
      </c>
      <c r="V168">
        <v>24</v>
      </c>
      <c r="W168">
        <f t="shared" ref="W168:W169" si="469">W167</f>
        <v>2</v>
      </c>
      <c r="X168">
        <v>10</v>
      </c>
      <c r="Y168">
        <f t="shared" ref="Y168:Y169" si="470">Y167</f>
        <v>0</v>
      </c>
      <c r="Z168">
        <v>45</v>
      </c>
      <c r="AA168">
        <v>65</v>
      </c>
      <c r="AB168">
        <v>76</v>
      </c>
      <c r="AC168">
        <v>79</v>
      </c>
      <c r="AD168">
        <v>79</v>
      </c>
      <c r="AE168">
        <v>77</v>
      </c>
      <c r="AF168">
        <v>59</v>
      </c>
      <c r="AG168">
        <v>79</v>
      </c>
      <c r="AH168">
        <v>0</v>
      </c>
      <c r="AI168">
        <v>79</v>
      </c>
      <c r="AJ168">
        <v>6</v>
      </c>
      <c r="AK168">
        <v>15</v>
      </c>
      <c r="AL168">
        <v>25</v>
      </c>
      <c r="AM168">
        <v>0</v>
      </c>
      <c r="AN168">
        <v>4</v>
      </c>
      <c r="AO168">
        <v>4</v>
      </c>
      <c r="AP168">
        <v>4</v>
      </c>
      <c r="AQ168">
        <v>4</v>
      </c>
      <c r="AR168">
        <f t="shared" si="357"/>
        <v>16</v>
      </c>
      <c r="AS168">
        <f>IF(AND(IFERROR(VLOOKUP(AJ168,Equip!$A:$N,13,FALSE),0)&gt;=5,IFERROR(VLOOKUP(AJ168,Equip!$A:$N,13,FALSE),0)&lt;=9),INT(VLOOKUP(AJ168,Equip!$A:$N,6,FALSE)*SQRT(AN168)),0)</f>
        <v>0</v>
      </c>
      <c r="AT168">
        <f>IF(AND(IFERROR(VLOOKUP(AK168,Equip!$A:$N,13,FALSE),0)&gt;=5,IFERROR(VLOOKUP(AK168,Equip!$A:$N,13,FALSE),0)&lt;=9),INT(VLOOKUP(AK168,Equip!$A:$N,6,FALSE)*SQRT(AO168)),0)</f>
        <v>0</v>
      </c>
      <c r="AU168">
        <f>IF(AND(IFERROR(VLOOKUP(AL168,Equip!$A:$N,13,FALSE),0)&gt;=5,IFERROR(VLOOKUP(AL168,Equip!$A:$N,13,FALSE),0)&lt;=9),INT(VLOOKUP(AL168,Equip!$A:$N,6,FALSE)*SQRT(AP168)),0)</f>
        <v>0</v>
      </c>
      <c r="AV168">
        <f>IF(AND(IFERROR(VLOOKUP(AM168,Equip!$A:$N,13,FALSE),0)&gt;=5,IFERROR(VLOOKUP(AM168,Equip!$A:$N,13,FALSE),0)&lt;=9),INT(VLOOKUP(AM168,Equip!$A:$N,6,FALSE)*SQRT(AQ168)),0)</f>
        <v>0</v>
      </c>
      <c r="AW168">
        <f t="shared" si="355"/>
        <v>0</v>
      </c>
      <c r="AX168">
        <f t="shared" si="356"/>
        <v>525</v>
      </c>
    </row>
    <row r="169" spans="1:50">
      <c r="A169">
        <v>63</v>
      </c>
      <c r="B169" t="s">
        <v>797</v>
      </c>
      <c r="C169" t="s">
        <v>797</v>
      </c>
      <c r="D169">
        <v>2</v>
      </c>
      <c r="E169">
        <f t="shared" si="462"/>
        <v>2057</v>
      </c>
      <c r="F169">
        <f t="shared" si="463"/>
        <v>1128</v>
      </c>
      <c r="G169">
        <f t="shared" si="464"/>
        <v>63</v>
      </c>
      <c r="H169">
        <f t="shared" si="465"/>
        <v>1</v>
      </c>
      <c r="I169">
        <f t="shared" si="466"/>
        <v>1</v>
      </c>
      <c r="J169">
        <f t="shared" si="467"/>
        <v>0</v>
      </c>
      <c r="K169">
        <v>5</v>
      </c>
      <c r="L169">
        <v>4</v>
      </c>
      <c r="M169">
        <v>59</v>
      </c>
      <c r="N169">
        <v>59</v>
      </c>
      <c r="O169">
        <v>46</v>
      </c>
      <c r="P169">
        <v>48</v>
      </c>
      <c r="Q169">
        <v>32</v>
      </c>
      <c r="R169">
        <v>42</v>
      </c>
      <c r="S169">
        <v>32</v>
      </c>
      <c r="T169">
        <v>0</v>
      </c>
      <c r="U169">
        <f t="shared" si="468"/>
        <v>10</v>
      </c>
      <c r="V169">
        <v>30</v>
      </c>
      <c r="W169">
        <f t="shared" si="469"/>
        <v>2</v>
      </c>
      <c r="X169">
        <v>15</v>
      </c>
      <c r="Y169">
        <f t="shared" si="470"/>
        <v>0</v>
      </c>
      <c r="Z169">
        <v>50</v>
      </c>
      <c r="AA169">
        <v>65</v>
      </c>
      <c r="AB169">
        <v>77</v>
      </c>
      <c r="AC169">
        <v>82</v>
      </c>
      <c r="AD169">
        <v>82</v>
      </c>
      <c r="AE169">
        <v>79</v>
      </c>
      <c r="AF169">
        <v>69</v>
      </c>
      <c r="AG169">
        <v>79</v>
      </c>
      <c r="AH169">
        <v>0</v>
      </c>
      <c r="AI169">
        <v>90</v>
      </c>
      <c r="AJ169">
        <v>50</v>
      </c>
      <c r="AK169">
        <v>30</v>
      </c>
      <c r="AL169">
        <v>79</v>
      </c>
      <c r="AM169">
        <v>0</v>
      </c>
      <c r="AN169">
        <v>2</v>
      </c>
      <c r="AO169">
        <v>2</v>
      </c>
      <c r="AP169">
        <v>9</v>
      </c>
      <c r="AQ169">
        <v>5</v>
      </c>
      <c r="AR169">
        <f t="shared" si="357"/>
        <v>18</v>
      </c>
      <c r="AS169">
        <f>IF(AND(IFERROR(VLOOKUP(AJ169,Equip!$A:$N,13,FALSE),0)&gt;=5,IFERROR(VLOOKUP(AJ169,Equip!$A:$N,13,FALSE),0)&lt;=9),INT(VLOOKUP(AJ169,Equip!$A:$N,6,FALSE)*SQRT(AN169)),0)</f>
        <v>0</v>
      </c>
      <c r="AT169">
        <f>IF(AND(IFERROR(VLOOKUP(AK169,Equip!$A:$N,13,FALSE),0)&gt;=5,IFERROR(VLOOKUP(AK169,Equip!$A:$N,13,FALSE),0)&lt;=9),INT(VLOOKUP(AK169,Equip!$A:$N,6,FALSE)*SQRT(AO169)),0)</f>
        <v>0</v>
      </c>
      <c r="AU169">
        <f>IF(AND(IFERROR(VLOOKUP(AL169,Equip!$A:$N,13,FALSE),0)&gt;=5,IFERROR(VLOOKUP(AL169,Equip!$A:$N,13,FALSE),0)&lt;=9),INT(VLOOKUP(AL169,Equip!$A:$N,6,FALSE)*SQRT(AP169)),0)</f>
        <v>0</v>
      </c>
      <c r="AV169">
        <f>IF(AND(IFERROR(VLOOKUP(AM169,Equip!$A:$N,13,FALSE),0)&gt;=5,IFERROR(VLOOKUP(AM169,Equip!$A:$N,13,FALSE),0)&lt;=9),INT(VLOOKUP(AM169,Equip!$A:$N,6,FALSE)*SQRT(AQ169)),0)</f>
        <v>0</v>
      </c>
      <c r="AW169">
        <f t="shared" si="355"/>
        <v>0</v>
      </c>
      <c r="AX169">
        <f t="shared" si="356"/>
        <v>548</v>
      </c>
    </row>
    <row r="170" spans="1:50">
      <c r="A170">
        <v>64</v>
      </c>
      <c r="B170" t="s">
        <v>798</v>
      </c>
      <c r="C170" t="s">
        <v>798</v>
      </c>
      <c r="D170">
        <v>0</v>
      </c>
      <c r="E170">
        <v>2057</v>
      </c>
      <c r="F170">
        <v>1128</v>
      </c>
      <c r="G170">
        <v>64</v>
      </c>
      <c r="H170">
        <v>2</v>
      </c>
      <c r="I170">
        <v>1</v>
      </c>
      <c r="J170">
        <v>0</v>
      </c>
      <c r="K170">
        <v>3</v>
      </c>
      <c r="L170">
        <v>4</v>
      </c>
      <c r="M170">
        <v>44</v>
      </c>
      <c r="N170">
        <v>44</v>
      </c>
      <c r="O170">
        <v>32</v>
      </c>
      <c r="P170">
        <v>36</v>
      </c>
      <c r="Q170">
        <v>24</v>
      </c>
      <c r="R170">
        <v>36</v>
      </c>
      <c r="S170">
        <v>20</v>
      </c>
      <c r="T170">
        <v>0</v>
      </c>
      <c r="U170">
        <v>10</v>
      </c>
      <c r="V170">
        <v>20</v>
      </c>
      <c r="W170">
        <v>2</v>
      </c>
      <c r="X170">
        <v>10</v>
      </c>
      <c r="Y170">
        <v>0</v>
      </c>
      <c r="Z170">
        <v>40</v>
      </c>
      <c r="AA170">
        <v>60</v>
      </c>
      <c r="AB170">
        <v>59</v>
      </c>
      <c r="AC170">
        <v>59</v>
      </c>
      <c r="AD170">
        <v>67</v>
      </c>
      <c r="AE170">
        <v>59</v>
      </c>
      <c r="AF170">
        <v>49</v>
      </c>
      <c r="AG170">
        <v>69</v>
      </c>
      <c r="AH170">
        <v>0</v>
      </c>
      <c r="AI170">
        <v>59</v>
      </c>
      <c r="AJ170">
        <v>6</v>
      </c>
      <c r="AK170">
        <v>25</v>
      </c>
      <c r="AL170">
        <v>0</v>
      </c>
      <c r="AM170">
        <v>-1</v>
      </c>
      <c r="AN170">
        <v>3</v>
      </c>
      <c r="AO170">
        <v>3</v>
      </c>
      <c r="AP170">
        <v>3</v>
      </c>
      <c r="AQ170">
        <v>0</v>
      </c>
      <c r="AR170">
        <f t="shared" si="357"/>
        <v>9</v>
      </c>
      <c r="AS170">
        <f>IF(AND(IFERROR(VLOOKUP(AJ170,Equip!$A:$N,13,FALSE),0)&gt;=5,IFERROR(VLOOKUP(AJ170,Equip!$A:$N,13,FALSE),0)&lt;=9),INT(VLOOKUP(AJ170,Equip!$A:$N,6,FALSE)*SQRT(AN170)),0)</f>
        <v>0</v>
      </c>
      <c r="AT170">
        <f>IF(AND(IFERROR(VLOOKUP(AK170,Equip!$A:$N,13,FALSE),0)&gt;=5,IFERROR(VLOOKUP(AK170,Equip!$A:$N,13,FALSE),0)&lt;=9),INT(VLOOKUP(AK170,Equip!$A:$N,6,FALSE)*SQRT(AO170)),0)</f>
        <v>0</v>
      </c>
      <c r="AU170">
        <f>IF(AND(IFERROR(VLOOKUP(AL170,Equip!$A:$N,13,FALSE),0)&gt;=5,IFERROR(VLOOKUP(AL170,Equip!$A:$N,13,FALSE),0)&lt;=9),INT(VLOOKUP(AL170,Equip!$A:$N,6,FALSE)*SQRT(AP170)),0)</f>
        <v>0</v>
      </c>
      <c r="AV170">
        <f>IF(AND(IFERROR(VLOOKUP(AM170,Equip!$A:$N,13,FALSE),0)&gt;=5,IFERROR(VLOOKUP(AM170,Equip!$A:$N,13,FALSE),0)&lt;=9),INT(VLOOKUP(AM170,Equip!$A:$N,6,FALSE)*SQRT(AQ170)),0)</f>
        <v>0</v>
      </c>
      <c r="AW170">
        <f t="shared" si="355"/>
        <v>0</v>
      </c>
      <c r="AX170">
        <f t="shared" si="356"/>
        <v>416</v>
      </c>
    </row>
    <row r="171" spans="1:50">
      <c r="A171">
        <v>64</v>
      </c>
      <c r="B171" t="s">
        <v>798</v>
      </c>
      <c r="C171" t="s">
        <v>798</v>
      </c>
      <c r="D171">
        <v>1</v>
      </c>
      <c r="E171">
        <f t="shared" ref="E171:E172" si="471">E170</f>
        <v>2057</v>
      </c>
      <c r="F171">
        <f t="shared" ref="F171:F172" si="472">F170</f>
        <v>1128</v>
      </c>
      <c r="G171">
        <f t="shared" ref="G171:G172" si="473">G170</f>
        <v>64</v>
      </c>
      <c r="H171">
        <f t="shared" ref="H171:H172" si="474">H170</f>
        <v>2</v>
      </c>
      <c r="I171">
        <f t="shared" ref="I171:I172" si="475">I170</f>
        <v>1</v>
      </c>
      <c r="J171">
        <f t="shared" ref="J171:J172" si="476">J170</f>
        <v>0</v>
      </c>
      <c r="K171">
        <v>3</v>
      </c>
      <c r="L171">
        <v>4</v>
      </c>
      <c r="M171">
        <v>56</v>
      </c>
      <c r="N171">
        <v>56</v>
      </c>
      <c r="O171">
        <v>49</v>
      </c>
      <c r="P171">
        <v>50</v>
      </c>
      <c r="Q171">
        <v>36</v>
      </c>
      <c r="R171">
        <v>50</v>
      </c>
      <c r="S171">
        <v>30</v>
      </c>
      <c r="T171">
        <v>0</v>
      </c>
      <c r="U171">
        <f t="shared" ref="U171:U172" si="477">U170</f>
        <v>10</v>
      </c>
      <c r="V171">
        <v>37</v>
      </c>
      <c r="W171">
        <f t="shared" ref="W171:W172" si="478">W170</f>
        <v>2</v>
      </c>
      <c r="X171">
        <v>10</v>
      </c>
      <c r="Y171">
        <f t="shared" ref="Y171:Y172" si="479">Y170</f>
        <v>0</v>
      </c>
      <c r="Z171">
        <v>45</v>
      </c>
      <c r="AA171">
        <v>65</v>
      </c>
      <c r="AB171">
        <v>76</v>
      </c>
      <c r="AC171">
        <v>79</v>
      </c>
      <c r="AD171">
        <v>79</v>
      </c>
      <c r="AE171">
        <v>77</v>
      </c>
      <c r="AF171">
        <v>59</v>
      </c>
      <c r="AG171">
        <v>79</v>
      </c>
      <c r="AH171">
        <v>0</v>
      </c>
      <c r="AI171">
        <v>79</v>
      </c>
      <c r="AJ171">
        <v>6</v>
      </c>
      <c r="AK171">
        <v>15</v>
      </c>
      <c r="AL171">
        <v>25</v>
      </c>
      <c r="AM171">
        <v>0</v>
      </c>
      <c r="AN171">
        <v>4</v>
      </c>
      <c r="AO171">
        <v>4</v>
      </c>
      <c r="AP171">
        <v>4</v>
      </c>
      <c r="AQ171">
        <v>4</v>
      </c>
      <c r="AR171">
        <f t="shared" si="357"/>
        <v>16</v>
      </c>
      <c r="AS171">
        <f>IF(AND(IFERROR(VLOOKUP(AJ171,Equip!$A:$N,13,FALSE),0)&gt;=5,IFERROR(VLOOKUP(AJ171,Equip!$A:$N,13,FALSE),0)&lt;=9),INT(VLOOKUP(AJ171,Equip!$A:$N,6,FALSE)*SQRT(AN171)),0)</f>
        <v>0</v>
      </c>
      <c r="AT171">
        <f>IF(AND(IFERROR(VLOOKUP(AK171,Equip!$A:$N,13,FALSE),0)&gt;=5,IFERROR(VLOOKUP(AK171,Equip!$A:$N,13,FALSE),0)&lt;=9),INT(VLOOKUP(AK171,Equip!$A:$N,6,FALSE)*SQRT(AO171)),0)</f>
        <v>0</v>
      </c>
      <c r="AU171">
        <f>IF(AND(IFERROR(VLOOKUP(AL171,Equip!$A:$N,13,FALSE),0)&gt;=5,IFERROR(VLOOKUP(AL171,Equip!$A:$N,13,FALSE),0)&lt;=9),INT(VLOOKUP(AL171,Equip!$A:$N,6,FALSE)*SQRT(AP171)),0)</f>
        <v>0</v>
      </c>
      <c r="AV171">
        <f>IF(AND(IFERROR(VLOOKUP(AM171,Equip!$A:$N,13,FALSE),0)&gt;=5,IFERROR(VLOOKUP(AM171,Equip!$A:$N,13,FALSE),0)&lt;=9),INT(VLOOKUP(AM171,Equip!$A:$N,6,FALSE)*SQRT(AQ171)),0)</f>
        <v>0</v>
      </c>
      <c r="AW171">
        <f t="shared" si="355"/>
        <v>0</v>
      </c>
      <c r="AX171">
        <f t="shared" si="356"/>
        <v>525</v>
      </c>
    </row>
    <row r="172" spans="1:50">
      <c r="A172">
        <v>64</v>
      </c>
      <c r="B172" t="s">
        <v>798</v>
      </c>
      <c r="C172" t="s">
        <v>798</v>
      </c>
      <c r="D172">
        <v>2</v>
      </c>
      <c r="E172">
        <f t="shared" si="471"/>
        <v>2057</v>
      </c>
      <c r="F172">
        <f t="shared" si="472"/>
        <v>1128</v>
      </c>
      <c r="G172">
        <f t="shared" si="473"/>
        <v>64</v>
      </c>
      <c r="H172">
        <f t="shared" si="474"/>
        <v>2</v>
      </c>
      <c r="I172">
        <f t="shared" si="475"/>
        <v>1</v>
      </c>
      <c r="J172">
        <f t="shared" si="476"/>
        <v>0</v>
      </c>
      <c r="K172">
        <v>5</v>
      </c>
      <c r="L172">
        <v>4</v>
      </c>
      <c r="M172">
        <v>58</v>
      </c>
      <c r="N172">
        <v>58</v>
      </c>
      <c r="O172">
        <v>55</v>
      </c>
      <c r="P172">
        <v>66</v>
      </c>
      <c r="Q172">
        <v>62</v>
      </c>
      <c r="R172">
        <v>68</v>
      </c>
      <c r="S172">
        <v>62</v>
      </c>
      <c r="T172">
        <v>0</v>
      </c>
      <c r="U172">
        <f t="shared" si="477"/>
        <v>10</v>
      </c>
      <c r="V172">
        <v>72</v>
      </c>
      <c r="W172">
        <f t="shared" si="478"/>
        <v>2</v>
      </c>
      <c r="X172">
        <v>14</v>
      </c>
      <c r="Y172">
        <f t="shared" si="479"/>
        <v>0</v>
      </c>
      <c r="Z172">
        <v>50</v>
      </c>
      <c r="AA172">
        <v>65</v>
      </c>
      <c r="AB172">
        <v>77</v>
      </c>
      <c r="AC172">
        <v>83</v>
      </c>
      <c r="AD172">
        <v>83</v>
      </c>
      <c r="AE172">
        <v>79</v>
      </c>
      <c r="AF172">
        <v>67</v>
      </c>
      <c r="AG172">
        <v>79</v>
      </c>
      <c r="AH172">
        <v>0</v>
      </c>
      <c r="AI172">
        <v>90</v>
      </c>
      <c r="AJ172">
        <v>50</v>
      </c>
      <c r="AK172">
        <v>30</v>
      </c>
      <c r="AL172">
        <v>79</v>
      </c>
      <c r="AM172">
        <v>0</v>
      </c>
      <c r="AN172">
        <v>2</v>
      </c>
      <c r="AO172">
        <v>2</v>
      </c>
      <c r="AP172">
        <v>9</v>
      </c>
      <c r="AQ172">
        <v>5</v>
      </c>
      <c r="AR172">
        <f t="shared" si="357"/>
        <v>18</v>
      </c>
      <c r="AS172">
        <f>IF(AND(IFERROR(VLOOKUP(AJ172,Equip!$A:$N,13,FALSE),0)&gt;=5,IFERROR(VLOOKUP(AJ172,Equip!$A:$N,13,FALSE),0)&lt;=9),INT(VLOOKUP(AJ172,Equip!$A:$N,6,FALSE)*SQRT(AN172)),0)</f>
        <v>0</v>
      </c>
      <c r="AT172">
        <f>IF(AND(IFERROR(VLOOKUP(AK172,Equip!$A:$N,13,FALSE),0)&gt;=5,IFERROR(VLOOKUP(AK172,Equip!$A:$N,13,FALSE),0)&lt;=9),INT(VLOOKUP(AK172,Equip!$A:$N,6,FALSE)*SQRT(AO172)),0)</f>
        <v>0</v>
      </c>
      <c r="AU172">
        <f>IF(AND(IFERROR(VLOOKUP(AL172,Equip!$A:$N,13,FALSE),0)&gt;=5,IFERROR(VLOOKUP(AL172,Equip!$A:$N,13,FALSE),0)&lt;=9),INT(VLOOKUP(AL172,Equip!$A:$N,6,FALSE)*SQRT(AP172)),0)</f>
        <v>0</v>
      </c>
      <c r="AV172">
        <f>IF(AND(IFERROR(VLOOKUP(AM172,Equip!$A:$N,13,FALSE),0)&gt;=5,IFERROR(VLOOKUP(AM172,Equip!$A:$N,13,FALSE),0)&lt;=9),INT(VLOOKUP(AM172,Equip!$A:$N,6,FALSE)*SQRT(AQ172)),0)</f>
        <v>0</v>
      </c>
      <c r="AW172">
        <f t="shared" si="355"/>
        <v>0</v>
      </c>
      <c r="AX172">
        <f t="shared" si="356"/>
        <v>549</v>
      </c>
    </row>
    <row r="173" spans="1:50">
      <c r="A173">
        <v>65</v>
      </c>
      <c r="B173" t="s">
        <v>799</v>
      </c>
      <c r="C173" t="s">
        <v>799</v>
      </c>
      <c r="D173">
        <v>0</v>
      </c>
      <c r="E173">
        <v>1970</v>
      </c>
      <c r="F173">
        <v>1085</v>
      </c>
      <c r="G173">
        <v>65</v>
      </c>
      <c r="H173">
        <v>2</v>
      </c>
      <c r="I173">
        <v>1</v>
      </c>
      <c r="J173">
        <v>0</v>
      </c>
      <c r="K173">
        <v>9</v>
      </c>
      <c r="L173">
        <v>4</v>
      </c>
      <c r="M173">
        <v>40</v>
      </c>
      <c r="N173">
        <v>40</v>
      </c>
      <c r="O173">
        <v>0</v>
      </c>
      <c r="P173">
        <v>21</v>
      </c>
      <c r="Q173">
        <v>0</v>
      </c>
      <c r="R173">
        <v>28</v>
      </c>
      <c r="S173">
        <v>21</v>
      </c>
      <c r="T173">
        <v>0</v>
      </c>
      <c r="U173">
        <v>5</v>
      </c>
      <c r="V173">
        <v>38</v>
      </c>
      <c r="W173">
        <v>1</v>
      </c>
      <c r="X173">
        <v>10</v>
      </c>
      <c r="Y173">
        <v>0</v>
      </c>
      <c r="Z173">
        <v>40</v>
      </c>
      <c r="AA173">
        <v>40</v>
      </c>
      <c r="AB173">
        <v>19</v>
      </c>
      <c r="AC173">
        <v>0</v>
      </c>
      <c r="AD173">
        <v>59</v>
      </c>
      <c r="AE173">
        <v>39</v>
      </c>
      <c r="AF173">
        <v>49</v>
      </c>
      <c r="AG173">
        <v>54</v>
      </c>
      <c r="AH173">
        <v>0</v>
      </c>
      <c r="AI173">
        <v>59</v>
      </c>
      <c r="AJ173">
        <v>19</v>
      </c>
      <c r="AK173">
        <v>23</v>
      </c>
      <c r="AL173">
        <v>16</v>
      </c>
      <c r="AM173">
        <v>0</v>
      </c>
      <c r="AN173">
        <v>12</v>
      </c>
      <c r="AO173">
        <v>18</v>
      </c>
      <c r="AP173">
        <v>18</v>
      </c>
      <c r="AQ173">
        <v>10</v>
      </c>
      <c r="AR173">
        <f t="shared" si="357"/>
        <v>58</v>
      </c>
      <c r="AS173">
        <f>IF(AND(IFERROR(VLOOKUP(AJ173,Equip!$A:$N,13,FALSE),0)&gt;=5,IFERROR(VLOOKUP(AJ173,Equip!$A:$N,13,FALSE),0)&lt;=9),INT(VLOOKUP(AJ173,Equip!$A:$N,6,FALSE)*SQRT(AN173)),0)</f>
        <v>0</v>
      </c>
      <c r="AT173">
        <f>IF(AND(IFERROR(VLOOKUP(AK173,Equip!$A:$N,13,FALSE),0)&gt;=5,IFERROR(VLOOKUP(AK173,Equip!$A:$N,13,FALSE),0)&lt;=9),INT(VLOOKUP(AK173,Equip!$A:$N,6,FALSE)*SQRT(AO173)),0)</f>
        <v>0</v>
      </c>
      <c r="AU173">
        <f>IF(AND(IFERROR(VLOOKUP(AL173,Equip!$A:$N,13,FALSE),0)&gt;=5,IFERROR(VLOOKUP(AL173,Equip!$A:$N,13,FALSE),0)&lt;=9),INT(VLOOKUP(AL173,Equip!$A:$N,6,FALSE)*SQRT(AP173)),0)</f>
        <v>0</v>
      </c>
      <c r="AV173">
        <f>IF(AND(IFERROR(VLOOKUP(AM173,Equip!$A:$N,13,FALSE),0)&gt;=5,IFERROR(VLOOKUP(AM173,Equip!$A:$N,13,FALSE),0)&lt;=9),INT(VLOOKUP(AM173,Equip!$A:$N,6,FALSE)*SQRT(AQ173)),0)</f>
        <v>0</v>
      </c>
      <c r="AW173">
        <f t="shared" si="355"/>
        <v>0</v>
      </c>
      <c r="AX173">
        <f t="shared" si="356"/>
        <v>270</v>
      </c>
    </row>
    <row r="174" spans="1:50">
      <c r="A174">
        <v>65</v>
      </c>
      <c r="B174" t="s">
        <v>799</v>
      </c>
      <c r="C174" t="s">
        <v>799</v>
      </c>
      <c r="D174">
        <v>1</v>
      </c>
      <c r="E174">
        <f>E173</f>
        <v>1970</v>
      </c>
      <c r="F174">
        <f t="shared" ref="F174" si="480">F173</f>
        <v>1085</v>
      </c>
      <c r="G174">
        <f t="shared" ref="G174" si="481">G173</f>
        <v>65</v>
      </c>
      <c r="H174">
        <f t="shared" ref="H174" si="482">H173</f>
        <v>2</v>
      </c>
      <c r="I174">
        <f t="shared" ref="I174" si="483">I173</f>
        <v>1</v>
      </c>
      <c r="J174">
        <f t="shared" ref="J174" si="484">J173</f>
        <v>0</v>
      </c>
      <c r="K174">
        <v>9</v>
      </c>
      <c r="L174">
        <v>4</v>
      </c>
      <c r="M174">
        <v>50</v>
      </c>
      <c r="N174">
        <v>50</v>
      </c>
      <c r="O174">
        <v>6</v>
      </c>
      <c r="P174">
        <v>33</v>
      </c>
      <c r="Q174">
        <v>0</v>
      </c>
      <c r="R174">
        <v>38</v>
      </c>
      <c r="S174">
        <v>34</v>
      </c>
      <c r="T174">
        <v>0</v>
      </c>
      <c r="U174">
        <f t="shared" ref="U174" si="485">U173</f>
        <v>5</v>
      </c>
      <c r="V174">
        <v>49</v>
      </c>
      <c r="W174">
        <f t="shared" ref="W174" si="486">W173</f>
        <v>1</v>
      </c>
      <c r="X174">
        <v>12</v>
      </c>
      <c r="Y174">
        <f t="shared" ref="Y174" si="487">Y173</f>
        <v>0</v>
      </c>
      <c r="Z174">
        <v>45</v>
      </c>
      <c r="AA174">
        <v>45</v>
      </c>
      <c r="AB174">
        <v>29</v>
      </c>
      <c r="AC174">
        <v>0</v>
      </c>
      <c r="AD174">
        <v>69</v>
      </c>
      <c r="AE174">
        <v>59</v>
      </c>
      <c r="AF174">
        <v>59</v>
      </c>
      <c r="AG174">
        <v>69</v>
      </c>
      <c r="AH174">
        <v>0</v>
      </c>
      <c r="AI174">
        <v>79</v>
      </c>
      <c r="AJ174">
        <v>21</v>
      </c>
      <c r="AK174">
        <v>24</v>
      </c>
      <c r="AL174">
        <v>16</v>
      </c>
      <c r="AM174">
        <v>0</v>
      </c>
      <c r="AN174">
        <v>18</v>
      </c>
      <c r="AO174">
        <v>18</v>
      </c>
      <c r="AP174">
        <v>18</v>
      </c>
      <c r="AQ174">
        <v>12</v>
      </c>
      <c r="AR174">
        <f t="shared" si="357"/>
        <v>66</v>
      </c>
      <c r="AS174">
        <f>IF(AND(IFERROR(VLOOKUP(AJ174,Equip!$A:$N,13,FALSE),0)&gt;=5,IFERROR(VLOOKUP(AJ174,Equip!$A:$N,13,FALSE),0)&lt;=9),INT(VLOOKUP(AJ174,Equip!$A:$N,6,FALSE)*SQRT(AN174)),0)</f>
        <v>0</v>
      </c>
      <c r="AT174">
        <f>IF(AND(IFERROR(VLOOKUP(AK174,Equip!$A:$N,13,FALSE),0)&gt;=5,IFERROR(VLOOKUP(AK174,Equip!$A:$N,13,FALSE),0)&lt;=9),INT(VLOOKUP(AK174,Equip!$A:$N,6,FALSE)*SQRT(AO174)),0)</f>
        <v>0</v>
      </c>
      <c r="AU174">
        <f>IF(AND(IFERROR(VLOOKUP(AL174,Equip!$A:$N,13,FALSE),0)&gt;=5,IFERROR(VLOOKUP(AL174,Equip!$A:$N,13,FALSE),0)&lt;=9),INT(VLOOKUP(AL174,Equip!$A:$N,6,FALSE)*SQRT(AP174)),0)</f>
        <v>0</v>
      </c>
      <c r="AV174">
        <f>IF(AND(IFERROR(VLOOKUP(AM174,Equip!$A:$N,13,FALSE),0)&gt;=5,IFERROR(VLOOKUP(AM174,Equip!$A:$N,13,FALSE),0)&lt;=9),INT(VLOOKUP(AM174,Equip!$A:$N,6,FALSE)*SQRT(AQ174)),0)</f>
        <v>0</v>
      </c>
      <c r="AW174">
        <f t="shared" si="355"/>
        <v>0</v>
      </c>
      <c r="AX174">
        <f t="shared" si="356"/>
        <v>355</v>
      </c>
    </row>
    <row r="175" spans="1:50">
      <c r="A175">
        <v>66</v>
      </c>
      <c r="B175" t="s">
        <v>800</v>
      </c>
      <c r="C175" t="s">
        <v>800</v>
      </c>
      <c r="D175">
        <v>0</v>
      </c>
      <c r="E175">
        <v>1970</v>
      </c>
      <c r="F175">
        <v>1085</v>
      </c>
      <c r="G175">
        <v>66</v>
      </c>
      <c r="H175">
        <v>2</v>
      </c>
      <c r="I175">
        <v>1</v>
      </c>
      <c r="J175">
        <v>4</v>
      </c>
      <c r="K175">
        <v>9</v>
      </c>
      <c r="L175">
        <v>4</v>
      </c>
      <c r="M175">
        <v>40</v>
      </c>
      <c r="N175">
        <v>40</v>
      </c>
      <c r="O175">
        <v>0</v>
      </c>
      <c r="P175">
        <v>21</v>
      </c>
      <c r="Q175">
        <v>0</v>
      </c>
      <c r="R175">
        <v>28</v>
      </c>
      <c r="S175">
        <v>21</v>
      </c>
      <c r="T175">
        <v>0</v>
      </c>
      <c r="U175">
        <v>5</v>
      </c>
      <c r="V175">
        <v>38</v>
      </c>
      <c r="W175">
        <v>1</v>
      </c>
      <c r="X175">
        <v>10</v>
      </c>
      <c r="Y175">
        <v>0</v>
      </c>
      <c r="Z175">
        <v>40</v>
      </c>
      <c r="AA175">
        <v>40</v>
      </c>
      <c r="AB175">
        <v>19</v>
      </c>
      <c r="AC175">
        <v>0</v>
      </c>
      <c r="AD175">
        <v>59</v>
      </c>
      <c r="AE175">
        <v>39</v>
      </c>
      <c r="AF175">
        <v>79</v>
      </c>
      <c r="AG175">
        <v>54</v>
      </c>
      <c r="AH175">
        <v>0</v>
      </c>
      <c r="AI175">
        <v>59</v>
      </c>
      <c r="AJ175">
        <v>19</v>
      </c>
      <c r="AK175">
        <v>23</v>
      </c>
      <c r="AL175">
        <v>16</v>
      </c>
      <c r="AM175">
        <v>0</v>
      </c>
      <c r="AN175">
        <v>12</v>
      </c>
      <c r="AO175">
        <v>18</v>
      </c>
      <c r="AP175">
        <v>18</v>
      </c>
      <c r="AQ175">
        <v>10</v>
      </c>
      <c r="AR175">
        <f t="shared" si="357"/>
        <v>58</v>
      </c>
      <c r="AS175">
        <f>IF(AND(IFERROR(VLOOKUP(AJ175,Equip!$A:$N,13,FALSE),0)&gt;=5,IFERROR(VLOOKUP(AJ175,Equip!$A:$N,13,FALSE),0)&lt;=9),INT(VLOOKUP(AJ175,Equip!$A:$N,6,FALSE)*SQRT(AN175)),0)</f>
        <v>0</v>
      </c>
      <c r="AT175">
        <f>IF(AND(IFERROR(VLOOKUP(AK175,Equip!$A:$N,13,FALSE),0)&gt;=5,IFERROR(VLOOKUP(AK175,Equip!$A:$N,13,FALSE),0)&lt;=9),INT(VLOOKUP(AK175,Equip!$A:$N,6,FALSE)*SQRT(AO175)),0)</f>
        <v>0</v>
      </c>
      <c r="AU175">
        <f>IF(AND(IFERROR(VLOOKUP(AL175,Equip!$A:$N,13,FALSE),0)&gt;=5,IFERROR(VLOOKUP(AL175,Equip!$A:$N,13,FALSE),0)&lt;=9),INT(VLOOKUP(AL175,Equip!$A:$N,6,FALSE)*SQRT(AP175)),0)</f>
        <v>0</v>
      </c>
      <c r="AV175">
        <f>IF(AND(IFERROR(VLOOKUP(AM175,Equip!$A:$N,13,FALSE),0)&gt;=5,IFERROR(VLOOKUP(AM175,Equip!$A:$N,13,FALSE),0)&lt;=9),INT(VLOOKUP(AM175,Equip!$A:$N,6,FALSE)*SQRT(AQ175)),0)</f>
        <v>0</v>
      </c>
      <c r="AW175">
        <f t="shared" si="355"/>
        <v>0</v>
      </c>
      <c r="AX175">
        <f t="shared" si="356"/>
        <v>270</v>
      </c>
    </row>
    <row r="176" spans="1:50">
      <c r="A176">
        <v>66</v>
      </c>
      <c r="B176" t="s">
        <v>800</v>
      </c>
      <c r="C176" t="s">
        <v>800</v>
      </c>
      <c r="D176">
        <v>1</v>
      </c>
      <c r="E176">
        <f t="shared" ref="E176:E177" si="488">E175</f>
        <v>1970</v>
      </c>
      <c r="F176">
        <f t="shared" ref="F176:F177" si="489">F175</f>
        <v>1085</v>
      </c>
      <c r="G176">
        <f t="shared" ref="G176:G177" si="490">G175</f>
        <v>66</v>
      </c>
      <c r="H176">
        <f t="shared" ref="H176:H177" si="491">H175</f>
        <v>2</v>
      </c>
      <c r="I176">
        <f t="shared" ref="I176:I177" si="492">I175</f>
        <v>1</v>
      </c>
      <c r="J176">
        <f t="shared" ref="J176:J177" si="493">J175</f>
        <v>4</v>
      </c>
      <c r="K176">
        <v>9</v>
      </c>
      <c r="L176">
        <v>4</v>
      </c>
      <c r="M176">
        <v>50</v>
      </c>
      <c r="N176">
        <v>50</v>
      </c>
      <c r="O176">
        <v>0</v>
      </c>
      <c r="P176">
        <v>30</v>
      </c>
      <c r="Q176">
        <v>0</v>
      </c>
      <c r="R176">
        <v>28</v>
      </c>
      <c r="S176">
        <v>25</v>
      </c>
      <c r="T176">
        <v>0</v>
      </c>
      <c r="U176">
        <f t="shared" ref="U176:U177" si="494">U175</f>
        <v>5</v>
      </c>
      <c r="V176">
        <v>40</v>
      </c>
      <c r="W176">
        <f t="shared" ref="W176:W177" si="495">W175</f>
        <v>1</v>
      </c>
      <c r="X176">
        <v>30</v>
      </c>
      <c r="Y176">
        <f t="shared" ref="Y176:Y177" si="496">Y175</f>
        <v>0</v>
      </c>
      <c r="Z176">
        <v>45</v>
      </c>
      <c r="AA176">
        <v>45</v>
      </c>
      <c r="AB176">
        <v>29</v>
      </c>
      <c r="AC176">
        <v>0</v>
      </c>
      <c r="AD176">
        <v>69</v>
      </c>
      <c r="AE176">
        <v>59</v>
      </c>
      <c r="AF176">
        <v>79</v>
      </c>
      <c r="AG176">
        <v>69</v>
      </c>
      <c r="AH176">
        <v>0</v>
      </c>
      <c r="AI176">
        <v>79</v>
      </c>
      <c r="AJ176">
        <v>21</v>
      </c>
      <c r="AK176">
        <v>24</v>
      </c>
      <c r="AL176">
        <v>16</v>
      </c>
      <c r="AM176">
        <v>0</v>
      </c>
      <c r="AN176">
        <v>18</v>
      </c>
      <c r="AO176">
        <v>18</v>
      </c>
      <c r="AP176">
        <v>18</v>
      </c>
      <c r="AQ176">
        <v>12</v>
      </c>
      <c r="AR176">
        <f t="shared" si="357"/>
        <v>66</v>
      </c>
      <c r="AS176">
        <f>IF(AND(IFERROR(VLOOKUP(AJ176,Equip!$A:$N,13,FALSE),0)&gt;=5,IFERROR(VLOOKUP(AJ176,Equip!$A:$N,13,FALSE),0)&lt;=9),INT(VLOOKUP(AJ176,Equip!$A:$N,6,FALSE)*SQRT(AN176)),0)</f>
        <v>0</v>
      </c>
      <c r="AT176">
        <f>IF(AND(IFERROR(VLOOKUP(AK176,Equip!$A:$N,13,FALSE),0)&gt;=5,IFERROR(VLOOKUP(AK176,Equip!$A:$N,13,FALSE),0)&lt;=9),INT(VLOOKUP(AK176,Equip!$A:$N,6,FALSE)*SQRT(AO176)),0)</f>
        <v>0</v>
      </c>
      <c r="AU176">
        <f>IF(AND(IFERROR(VLOOKUP(AL176,Equip!$A:$N,13,FALSE),0)&gt;=5,IFERROR(VLOOKUP(AL176,Equip!$A:$N,13,FALSE),0)&lt;=9),INT(VLOOKUP(AL176,Equip!$A:$N,6,FALSE)*SQRT(AP176)),0)</f>
        <v>0</v>
      </c>
      <c r="AV176">
        <f>IF(AND(IFERROR(VLOOKUP(AM176,Equip!$A:$N,13,FALSE),0)&gt;=5,IFERROR(VLOOKUP(AM176,Equip!$A:$N,13,FALSE),0)&lt;=9),INT(VLOOKUP(AM176,Equip!$A:$N,6,FALSE)*SQRT(AQ176)),0)</f>
        <v>0</v>
      </c>
      <c r="AW176">
        <f t="shared" si="355"/>
        <v>0</v>
      </c>
      <c r="AX176">
        <f t="shared" si="356"/>
        <v>355</v>
      </c>
    </row>
    <row r="177" spans="1:50">
      <c r="A177">
        <v>66</v>
      </c>
      <c r="B177" t="s">
        <v>800</v>
      </c>
      <c r="C177" t="s">
        <v>800</v>
      </c>
      <c r="D177">
        <v>2</v>
      </c>
      <c r="E177">
        <f t="shared" si="488"/>
        <v>1970</v>
      </c>
      <c r="F177">
        <f t="shared" si="489"/>
        <v>1085</v>
      </c>
      <c r="G177">
        <f t="shared" si="490"/>
        <v>66</v>
      </c>
      <c r="H177">
        <f t="shared" si="491"/>
        <v>2</v>
      </c>
      <c r="I177">
        <f t="shared" si="492"/>
        <v>1</v>
      </c>
      <c r="J177">
        <f t="shared" si="493"/>
        <v>4</v>
      </c>
      <c r="K177">
        <v>9</v>
      </c>
      <c r="L177">
        <v>4</v>
      </c>
      <c r="M177">
        <v>55</v>
      </c>
      <c r="N177">
        <v>55</v>
      </c>
      <c r="O177">
        <v>0</v>
      </c>
      <c r="P177">
        <v>31</v>
      </c>
      <c r="Q177">
        <v>0</v>
      </c>
      <c r="R177">
        <v>41</v>
      </c>
      <c r="S177">
        <v>36</v>
      </c>
      <c r="T177">
        <v>0</v>
      </c>
      <c r="U177">
        <f t="shared" si="494"/>
        <v>5</v>
      </c>
      <c r="V177">
        <v>44</v>
      </c>
      <c r="W177">
        <f t="shared" si="495"/>
        <v>1</v>
      </c>
      <c r="X177">
        <v>41</v>
      </c>
      <c r="Y177">
        <f t="shared" si="496"/>
        <v>0</v>
      </c>
      <c r="Z177">
        <v>45</v>
      </c>
      <c r="AA177">
        <v>50</v>
      </c>
      <c r="AB177">
        <v>40</v>
      </c>
      <c r="AC177">
        <v>0</v>
      </c>
      <c r="AD177">
        <v>74</v>
      </c>
      <c r="AE177">
        <v>62</v>
      </c>
      <c r="AF177">
        <v>84</v>
      </c>
      <c r="AG177">
        <v>84</v>
      </c>
      <c r="AH177">
        <v>0</v>
      </c>
      <c r="AI177">
        <v>79</v>
      </c>
      <c r="AJ177">
        <v>22</v>
      </c>
      <c r="AK177">
        <v>106</v>
      </c>
      <c r="AL177">
        <v>30</v>
      </c>
      <c r="AM177">
        <v>51</v>
      </c>
      <c r="AN177">
        <v>24</v>
      </c>
      <c r="AO177">
        <v>18</v>
      </c>
      <c r="AP177">
        <v>20</v>
      </c>
      <c r="AQ177">
        <v>4</v>
      </c>
      <c r="AR177">
        <f t="shared" si="357"/>
        <v>66</v>
      </c>
      <c r="AS177">
        <f>IF(AND(IFERROR(VLOOKUP(AJ177,Equip!$A:$N,13,FALSE),0)&gt;=5,IFERROR(VLOOKUP(AJ177,Equip!$A:$N,13,FALSE),0)&lt;=9),INT(VLOOKUP(AJ177,Equip!$A:$N,6,FALSE)*SQRT(AN177)),0)</f>
        <v>0</v>
      </c>
      <c r="AT177">
        <f>IF(AND(IFERROR(VLOOKUP(AK177,Equip!$A:$N,13,FALSE),0)&gt;=5,IFERROR(VLOOKUP(AK177,Equip!$A:$N,13,FALSE),0)&lt;=9),INT(VLOOKUP(AK177,Equip!$A:$N,6,FALSE)*SQRT(AO177)),0)</f>
        <v>0</v>
      </c>
      <c r="AU177">
        <f>IF(AND(IFERROR(VLOOKUP(AL177,Equip!$A:$N,13,FALSE),0)&gt;=5,IFERROR(VLOOKUP(AL177,Equip!$A:$N,13,FALSE),0)&lt;=9),INT(VLOOKUP(AL177,Equip!$A:$N,6,FALSE)*SQRT(AP177)),0)</f>
        <v>0</v>
      </c>
      <c r="AV177">
        <f>IF(AND(IFERROR(VLOOKUP(AM177,Equip!$A:$N,13,FALSE),0)&gt;=5,IFERROR(VLOOKUP(AM177,Equip!$A:$N,13,FALSE),0)&lt;=9),INT(VLOOKUP(AM177,Equip!$A:$N,6,FALSE)*SQRT(AQ177)),0)</f>
        <v>0</v>
      </c>
      <c r="AW177">
        <f t="shared" si="355"/>
        <v>0</v>
      </c>
      <c r="AX177">
        <f t="shared" si="356"/>
        <v>394</v>
      </c>
    </row>
    <row r="178" spans="1:50">
      <c r="A178">
        <v>67</v>
      </c>
      <c r="B178" t="s">
        <v>801</v>
      </c>
      <c r="C178" t="s">
        <v>801</v>
      </c>
      <c r="D178">
        <v>0</v>
      </c>
      <c r="E178">
        <v>1284</v>
      </c>
      <c r="F178">
        <v>742</v>
      </c>
      <c r="G178">
        <v>67</v>
      </c>
      <c r="H178">
        <v>1</v>
      </c>
      <c r="I178">
        <v>1</v>
      </c>
      <c r="J178">
        <v>0</v>
      </c>
      <c r="K178">
        <v>1</v>
      </c>
      <c r="L178">
        <v>1</v>
      </c>
      <c r="M178">
        <v>15</v>
      </c>
      <c r="N178">
        <v>15</v>
      </c>
      <c r="O178">
        <v>10</v>
      </c>
      <c r="P178">
        <v>5</v>
      </c>
      <c r="Q178">
        <v>27</v>
      </c>
      <c r="R178">
        <v>41</v>
      </c>
      <c r="S178">
        <v>12</v>
      </c>
      <c r="T178">
        <v>20</v>
      </c>
      <c r="U178">
        <v>10</v>
      </c>
      <c r="V178">
        <v>5</v>
      </c>
      <c r="W178">
        <v>1</v>
      </c>
      <c r="X178">
        <v>10</v>
      </c>
      <c r="Y178">
        <v>0</v>
      </c>
      <c r="Z178">
        <v>15</v>
      </c>
      <c r="AA178">
        <v>20</v>
      </c>
      <c r="AB178">
        <v>29</v>
      </c>
      <c r="AC178">
        <v>69</v>
      </c>
      <c r="AD178">
        <v>39</v>
      </c>
      <c r="AE178">
        <v>19</v>
      </c>
      <c r="AF178">
        <v>49</v>
      </c>
      <c r="AG178">
        <v>79</v>
      </c>
      <c r="AH178">
        <v>49</v>
      </c>
      <c r="AI178">
        <v>19</v>
      </c>
      <c r="AJ178">
        <v>2</v>
      </c>
      <c r="AK178">
        <v>0</v>
      </c>
      <c r="AL178">
        <v>-1</v>
      </c>
      <c r="AM178">
        <v>-1</v>
      </c>
      <c r="AN178">
        <v>0</v>
      </c>
      <c r="AO178">
        <v>0</v>
      </c>
      <c r="AP178">
        <v>0</v>
      </c>
      <c r="AQ178">
        <v>0</v>
      </c>
      <c r="AR178">
        <f t="shared" si="357"/>
        <v>0</v>
      </c>
      <c r="AS178">
        <f>IF(AND(IFERROR(VLOOKUP(AJ178,Equip!$A:$N,13,FALSE),0)&gt;=5,IFERROR(VLOOKUP(AJ178,Equip!$A:$N,13,FALSE),0)&lt;=9),INT(VLOOKUP(AJ178,Equip!$A:$N,6,FALSE)*SQRT(AN178)),0)</f>
        <v>0</v>
      </c>
      <c r="AT178">
        <f>IF(AND(IFERROR(VLOOKUP(AK178,Equip!$A:$N,13,FALSE),0)&gt;=5,IFERROR(VLOOKUP(AK178,Equip!$A:$N,13,FALSE),0)&lt;=9),INT(VLOOKUP(AK178,Equip!$A:$N,6,FALSE)*SQRT(AO178)),0)</f>
        <v>0</v>
      </c>
      <c r="AU178">
        <f>IF(AND(IFERROR(VLOOKUP(AL178,Equip!$A:$N,13,FALSE),0)&gt;=5,IFERROR(VLOOKUP(AL178,Equip!$A:$N,13,FALSE),0)&lt;=9),INT(VLOOKUP(AL178,Equip!$A:$N,6,FALSE)*SQRT(AP178)),0)</f>
        <v>0</v>
      </c>
      <c r="AV178">
        <f>IF(AND(IFERROR(VLOOKUP(AM178,Equip!$A:$N,13,FALSE),0)&gt;=5,IFERROR(VLOOKUP(AM178,Equip!$A:$N,13,FALSE),0)&lt;=9),INT(VLOOKUP(AM178,Equip!$A:$N,6,FALSE)*SQRT(AQ178)),0)</f>
        <v>0</v>
      </c>
      <c r="AW178">
        <f t="shared" si="355"/>
        <v>0</v>
      </c>
      <c r="AX178">
        <f t="shared" si="356"/>
        <v>318</v>
      </c>
    </row>
    <row r="179" spans="1:50">
      <c r="A179">
        <v>67</v>
      </c>
      <c r="B179" t="s">
        <v>801</v>
      </c>
      <c r="C179" t="s">
        <v>801</v>
      </c>
      <c r="D179">
        <v>1</v>
      </c>
      <c r="E179">
        <f>E178</f>
        <v>1284</v>
      </c>
      <c r="F179">
        <f t="shared" ref="F179" si="497">F178</f>
        <v>742</v>
      </c>
      <c r="G179">
        <f t="shared" ref="G179" si="498">G178</f>
        <v>67</v>
      </c>
      <c r="H179">
        <f t="shared" ref="H179" si="499">H178</f>
        <v>1</v>
      </c>
      <c r="I179">
        <f t="shared" ref="I179" si="500">I178</f>
        <v>1</v>
      </c>
      <c r="J179">
        <f t="shared" ref="J179" si="501">J178</f>
        <v>0</v>
      </c>
      <c r="K179">
        <v>1</v>
      </c>
      <c r="L179">
        <v>1</v>
      </c>
      <c r="M179">
        <v>30</v>
      </c>
      <c r="N179">
        <v>30</v>
      </c>
      <c r="O179">
        <v>18</v>
      </c>
      <c r="P179">
        <v>19</v>
      </c>
      <c r="Q179">
        <v>37</v>
      </c>
      <c r="R179">
        <v>53</v>
      </c>
      <c r="S179">
        <v>18</v>
      </c>
      <c r="T179">
        <v>31</v>
      </c>
      <c r="U179">
        <f t="shared" ref="U179" si="502">U178</f>
        <v>10</v>
      </c>
      <c r="V179">
        <v>13</v>
      </c>
      <c r="W179">
        <f t="shared" ref="W179" si="503">W178</f>
        <v>1</v>
      </c>
      <c r="X179">
        <v>12</v>
      </c>
      <c r="Y179">
        <f t="shared" ref="Y179" si="504">Y178</f>
        <v>0</v>
      </c>
      <c r="Z179">
        <v>15</v>
      </c>
      <c r="AA179">
        <v>20</v>
      </c>
      <c r="AB179">
        <v>49</v>
      </c>
      <c r="AC179">
        <v>79</v>
      </c>
      <c r="AD179">
        <v>49</v>
      </c>
      <c r="AE179">
        <v>49</v>
      </c>
      <c r="AF179">
        <v>59</v>
      </c>
      <c r="AG179">
        <v>89</v>
      </c>
      <c r="AH179">
        <v>59</v>
      </c>
      <c r="AI179">
        <v>39</v>
      </c>
      <c r="AJ179">
        <v>3</v>
      </c>
      <c r="AK179">
        <v>13</v>
      </c>
      <c r="AL179">
        <v>0</v>
      </c>
      <c r="AM179">
        <v>-1</v>
      </c>
      <c r="AN179">
        <v>0</v>
      </c>
      <c r="AO179">
        <v>0</v>
      </c>
      <c r="AP179">
        <v>0</v>
      </c>
      <c r="AQ179">
        <v>0</v>
      </c>
      <c r="AR179">
        <f t="shared" si="357"/>
        <v>0</v>
      </c>
      <c r="AS179">
        <f>IF(AND(IFERROR(VLOOKUP(AJ179,Equip!$A:$N,13,FALSE),0)&gt;=5,IFERROR(VLOOKUP(AJ179,Equip!$A:$N,13,FALSE),0)&lt;=9),INT(VLOOKUP(AJ179,Equip!$A:$N,6,FALSE)*SQRT(AN179)),0)</f>
        <v>0</v>
      </c>
      <c r="AT179">
        <f>IF(AND(IFERROR(VLOOKUP(AK179,Equip!$A:$N,13,FALSE),0)&gt;=5,IFERROR(VLOOKUP(AK179,Equip!$A:$N,13,FALSE),0)&lt;=9),INT(VLOOKUP(AK179,Equip!$A:$N,6,FALSE)*SQRT(AO179)),0)</f>
        <v>0</v>
      </c>
      <c r="AU179">
        <f>IF(AND(IFERROR(VLOOKUP(AL179,Equip!$A:$N,13,FALSE),0)&gt;=5,IFERROR(VLOOKUP(AL179,Equip!$A:$N,13,FALSE),0)&lt;=9),INT(VLOOKUP(AL179,Equip!$A:$N,6,FALSE)*SQRT(AP179)),0)</f>
        <v>0</v>
      </c>
      <c r="AV179">
        <f>IF(AND(IFERROR(VLOOKUP(AM179,Equip!$A:$N,13,FALSE),0)&gt;=5,IFERROR(VLOOKUP(AM179,Equip!$A:$N,13,FALSE),0)&lt;=9),INT(VLOOKUP(AM179,Equip!$A:$N,6,FALSE)*SQRT(AQ179)),0)</f>
        <v>0</v>
      </c>
      <c r="AW179">
        <f t="shared" si="355"/>
        <v>0</v>
      </c>
      <c r="AX179">
        <f t="shared" si="356"/>
        <v>443</v>
      </c>
    </row>
    <row r="180" spans="1:50">
      <c r="A180">
        <v>68</v>
      </c>
      <c r="B180" t="s">
        <v>802</v>
      </c>
      <c r="C180" t="s">
        <v>802</v>
      </c>
      <c r="D180">
        <v>0</v>
      </c>
      <c r="E180">
        <v>1284</v>
      </c>
      <c r="F180">
        <v>742</v>
      </c>
      <c r="G180">
        <v>68</v>
      </c>
      <c r="H180">
        <v>1</v>
      </c>
      <c r="I180">
        <v>1</v>
      </c>
      <c r="J180">
        <v>9</v>
      </c>
      <c r="K180">
        <v>1</v>
      </c>
      <c r="L180">
        <v>1</v>
      </c>
      <c r="M180">
        <v>15</v>
      </c>
      <c r="N180">
        <v>15</v>
      </c>
      <c r="O180">
        <v>10</v>
      </c>
      <c r="P180">
        <v>5</v>
      </c>
      <c r="Q180">
        <v>27</v>
      </c>
      <c r="R180">
        <v>41</v>
      </c>
      <c r="S180">
        <v>12</v>
      </c>
      <c r="T180">
        <v>20</v>
      </c>
      <c r="U180">
        <v>10</v>
      </c>
      <c r="V180">
        <v>5</v>
      </c>
      <c r="W180">
        <v>1</v>
      </c>
      <c r="X180">
        <v>10</v>
      </c>
      <c r="Y180">
        <v>0</v>
      </c>
      <c r="Z180">
        <v>15</v>
      </c>
      <c r="AA180">
        <v>20</v>
      </c>
      <c r="AB180">
        <v>29</v>
      </c>
      <c r="AC180">
        <v>69</v>
      </c>
      <c r="AD180">
        <v>39</v>
      </c>
      <c r="AE180">
        <v>19</v>
      </c>
      <c r="AF180">
        <v>49</v>
      </c>
      <c r="AG180">
        <v>79</v>
      </c>
      <c r="AH180">
        <v>49</v>
      </c>
      <c r="AI180">
        <v>19</v>
      </c>
      <c r="AJ180">
        <v>2</v>
      </c>
      <c r="AK180">
        <v>0</v>
      </c>
      <c r="AL180">
        <v>-1</v>
      </c>
      <c r="AM180">
        <v>-1</v>
      </c>
      <c r="AN180">
        <v>0</v>
      </c>
      <c r="AO180">
        <v>0</v>
      </c>
      <c r="AP180">
        <v>0</v>
      </c>
      <c r="AQ180">
        <v>0</v>
      </c>
      <c r="AR180">
        <f t="shared" si="357"/>
        <v>0</v>
      </c>
      <c r="AS180">
        <f>IF(AND(IFERROR(VLOOKUP(AJ180,Equip!$A:$N,13,FALSE),0)&gt;=5,IFERROR(VLOOKUP(AJ180,Equip!$A:$N,13,FALSE),0)&lt;=9),INT(VLOOKUP(AJ180,Equip!$A:$N,6,FALSE)*SQRT(AN180)),0)</f>
        <v>0</v>
      </c>
      <c r="AT180">
        <f>IF(AND(IFERROR(VLOOKUP(AK180,Equip!$A:$N,13,FALSE),0)&gt;=5,IFERROR(VLOOKUP(AK180,Equip!$A:$N,13,FALSE),0)&lt;=9),INT(VLOOKUP(AK180,Equip!$A:$N,6,FALSE)*SQRT(AO180)),0)</f>
        <v>0</v>
      </c>
      <c r="AU180">
        <f>IF(AND(IFERROR(VLOOKUP(AL180,Equip!$A:$N,13,FALSE),0)&gt;=5,IFERROR(VLOOKUP(AL180,Equip!$A:$N,13,FALSE),0)&lt;=9),INT(VLOOKUP(AL180,Equip!$A:$N,6,FALSE)*SQRT(AP180)),0)</f>
        <v>0</v>
      </c>
      <c r="AV180">
        <f>IF(AND(IFERROR(VLOOKUP(AM180,Equip!$A:$N,13,FALSE),0)&gt;=5,IFERROR(VLOOKUP(AM180,Equip!$A:$N,13,FALSE),0)&lt;=9),INT(VLOOKUP(AM180,Equip!$A:$N,6,FALSE)*SQRT(AQ180)),0)</f>
        <v>0</v>
      </c>
      <c r="AW180">
        <f t="shared" si="355"/>
        <v>0</v>
      </c>
      <c r="AX180">
        <f t="shared" si="356"/>
        <v>318</v>
      </c>
    </row>
    <row r="181" spans="1:50">
      <c r="A181">
        <v>68</v>
      </c>
      <c r="B181" t="s">
        <v>802</v>
      </c>
      <c r="C181" t="s">
        <v>802</v>
      </c>
      <c r="D181">
        <v>1</v>
      </c>
      <c r="E181">
        <f>E180</f>
        <v>1284</v>
      </c>
      <c r="F181">
        <f t="shared" ref="F181" si="505">F180</f>
        <v>742</v>
      </c>
      <c r="G181">
        <f t="shared" ref="G181" si="506">G180</f>
        <v>68</v>
      </c>
      <c r="H181">
        <f t="shared" ref="H181" si="507">H180</f>
        <v>1</v>
      </c>
      <c r="I181">
        <f t="shared" ref="I181" si="508">I180</f>
        <v>1</v>
      </c>
      <c r="J181">
        <f t="shared" ref="J181" si="509">J180</f>
        <v>9</v>
      </c>
      <c r="K181">
        <v>1</v>
      </c>
      <c r="L181">
        <v>1</v>
      </c>
      <c r="M181">
        <v>30</v>
      </c>
      <c r="N181">
        <v>30</v>
      </c>
      <c r="O181">
        <v>15</v>
      </c>
      <c r="P181">
        <v>16</v>
      </c>
      <c r="Q181">
        <v>33</v>
      </c>
      <c r="R181">
        <v>53</v>
      </c>
      <c r="S181">
        <v>21</v>
      </c>
      <c r="T181">
        <v>31</v>
      </c>
      <c r="U181">
        <f t="shared" ref="U181" si="510">U180</f>
        <v>10</v>
      </c>
      <c r="V181">
        <v>13</v>
      </c>
      <c r="W181">
        <f t="shared" ref="W181" si="511">W180</f>
        <v>1</v>
      </c>
      <c r="X181">
        <v>12</v>
      </c>
      <c r="Y181">
        <f t="shared" ref="Y181" si="512">Y180</f>
        <v>0</v>
      </c>
      <c r="Z181">
        <v>15</v>
      </c>
      <c r="AA181">
        <v>20</v>
      </c>
      <c r="AB181">
        <v>49</v>
      </c>
      <c r="AC181">
        <v>79</v>
      </c>
      <c r="AD181">
        <v>49</v>
      </c>
      <c r="AE181">
        <v>49</v>
      </c>
      <c r="AF181">
        <v>59</v>
      </c>
      <c r="AG181">
        <v>89</v>
      </c>
      <c r="AH181">
        <v>59</v>
      </c>
      <c r="AI181">
        <v>39</v>
      </c>
      <c r="AJ181">
        <v>3</v>
      </c>
      <c r="AK181">
        <v>13</v>
      </c>
      <c r="AL181">
        <v>0</v>
      </c>
      <c r="AM181">
        <v>-1</v>
      </c>
      <c r="AN181">
        <v>0</v>
      </c>
      <c r="AO181">
        <v>0</v>
      </c>
      <c r="AP181">
        <v>0</v>
      </c>
      <c r="AQ181">
        <v>0</v>
      </c>
      <c r="AR181">
        <f t="shared" si="357"/>
        <v>0</v>
      </c>
      <c r="AS181">
        <f>IF(AND(IFERROR(VLOOKUP(AJ181,Equip!$A:$N,13,FALSE),0)&gt;=5,IFERROR(VLOOKUP(AJ181,Equip!$A:$N,13,FALSE),0)&lt;=9),INT(VLOOKUP(AJ181,Equip!$A:$N,6,FALSE)*SQRT(AN181)),0)</f>
        <v>0</v>
      </c>
      <c r="AT181">
        <f>IF(AND(IFERROR(VLOOKUP(AK181,Equip!$A:$N,13,FALSE),0)&gt;=5,IFERROR(VLOOKUP(AK181,Equip!$A:$N,13,FALSE),0)&lt;=9),INT(VLOOKUP(AK181,Equip!$A:$N,6,FALSE)*SQRT(AO181)),0)</f>
        <v>0</v>
      </c>
      <c r="AU181">
        <f>IF(AND(IFERROR(VLOOKUP(AL181,Equip!$A:$N,13,FALSE),0)&gt;=5,IFERROR(VLOOKUP(AL181,Equip!$A:$N,13,FALSE),0)&lt;=9),INT(VLOOKUP(AL181,Equip!$A:$N,6,FALSE)*SQRT(AP181)),0)</f>
        <v>0</v>
      </c>
      <c r="AV181">
        <f>IF(AND(IFERROR(VLOOKUP(AM181,Equip!$A:$N,13,FALSE),0)&gt;=5,IFERROR(VLOOKUP(AM181,Equip!$A:$N,13,FALSE),0)&lt;=9),INT(VLOOKUP(AM181,Equip!$A:$N,6,FALSE)*SQRT(AQ181)),0)</f>
        <v>0</v>
      </c>
      <c r="AW181">
        <f t="shared" si="355"/>
        <v>0</v>
      </c>
      <c r="AX181">
        <f t="shared" si="356"/>
        <v>443</v>
      </c>
    </row>
    <row r="182" spans="1:50">
      <c r="A182">
        <v>69</v>
      </c>
      <c r="B182" t="s">
        <v>803</v>
      </c>
      <c r="C182" t="s">
        <v>803</v>
      </c>
      <c r="D182">
        <v>0</v>
      </c>
      <c r="E182">
        <v>1284</v>
      </c>
      <c r="F182">
        <v>742</v>
      </c>
      <c r="G182">
        <v>69</v>
      </c>
      <c r="H182">
        <v>1</v>
      </c>
      <c r="I182">
        <v>1</v>
      </c>
      <c r="J182">
        <v>8</v>
      </c>
      <c r="K182">
        <v>1</v>
      </c>
      <c r="L182">
        <v>1</v>
      </c>
      <c r="M182">
        <v>15</v>
      </c>
      <c r="N182">
        <v>15</v>
      </c>
      <c r="O182">
        <v>10</v>
      </c>
      <c r="P182">
        <v>5</v>
      </c>
      <c r="Q182">
        <v>27</v>
      </c>
      <c r="R182">
        <v>41</v>
      </c>
      <c r="S182">
        <v>12</v>
      </c>
      <c r="T182">
        <v>20</v>
      </c>
      <c r="U182">
        <v>10</v>
      </c>
      <c r="V182">
        <v>5</v>
      </c>
      <c r="W182">
        <v>1</v>
      </c>
      <c r="X182">
        <v>10</v>
      </c>
      <c r="Y182">
        <v>0</v>
      </c>
      <c r="Z182">
        <v>15</v>
      </c>
      <c r="AA182">
        <v>20</v>
      </c>
      <c r="AB182">
        <v>29</v>
      </c>
      <c r="AC182">
        <v>69</v>
      </c>
      <c r="AD182">
        <v>39</v>
      </c>
      <c r="AE182">
        <v>19</v>
      </c>
      <c r="AF182">
        <v>49</v>
      </c>
      <c r="AG182">
        <v>79</v>
      </c>
      <c r="AH182">
        <v>49</v>
      </c>
      <c r="AI182">
        <v>19</v>
      </c>
      <c r="AJ182">
        <v>2</v>
      </c>
      <c r="AK182">
        <v>0</v>
      </c>
      <c r="AL182">
        <v>-1</v>
      </c>
      <c r="AM182">
        <v>-1</v>
      </c>
      <c r="AN182">
        <v>0</v>
      </c>
      <c r="AO182">
        <v>0</v>
      </c>
      <c r="AP182">
        <v>0</v>
      </c>
      <c r="AQ182">
        <v>0</v>
      </c>
      <c r="AR182">
        <f t="shared" si="357"/>
        <v>0</v>
      </c>
      <c r="AS182">
        <f>IF(AND(IFERROR(VLOOKUP(AJ182,Equip!$A:$N,13,FALSE),0)&gt;=5,IFERROR(VLOOKUP(AJ182,Equip!$A:$N,13,FALSE),0)&lt;=9),INT(VLOOKUP(AJ182,Equip!$A:$N,6,FALSE)*SQRT(AN182)),0)</f>
        <v>0</v>
      </c>
      <c r="AT182">
        <f>IF(AND(IFERROR(VLOOKUP(AK182,Equip!$A:$N,13,FALSE),0)&gt;=5,IFERROR(VLOOKUP(AK182,Equip!$A:$N,13,FALSE),0)&lt;=9),INT(VLOOKUP(AK182,Equip!$A:$N,6,FALSE)*SQRT(AO182)),0)</f>
        <v>0</v>
      </c>
      <c r="AU182">
        <f>IF(AND(IFERROR(VLOOKUP(AL182,Equip!$A:$N,13,FALSE),0)&gt;=5,IFERROR(VLOOKUP(AL182,Equip!$A:$N,13,FALSE),0)&lt;=9),INT(VLOOKUP(AL182,Equip!$A:$N,6,FALSE)*SQRT(AP182)),0)</f>
        <v>0</v>
      </c>
      <c r="AV182">
        <f>IF(AND(IFERROR(VLOOKUP(AM182,Equip!$A:$N,13,FALSE),0)&gt;=5,IFERROR(VLOOKUP(AM182,Equip!$A:$N,13,FALSE),0)&lt;=9),INT(VLOOKUP(AM182,Equip!$A:$N,6,FALSE)*SQRT(AQ182)),0)</f>
        <v>0</v>
      </c>
      <c r="AW182">
        <f t="shared" si="355"/>
        <v>0</v>
      </c>
      <c r="AX182">
        <f t="shared" si="356"/>
        <v>318</v>
      </c>
    </row>
    <row r="183" spans="1:50">
      <c r="A183">
        <v>69</v>
      </c>
      <c r="B183" t="s">
        <v>803</v>
      </c>
      <c r="C183" t="s">
        <v>803</v>
      </c>
      <c r="D183">
        <v>1</v>
      </c>
      <c r="E183">
        <f>E182</f>
        <v>1284</v>
      </c>
      <c r="F183">
        <f t="shared" ref="F183" si="513">F182</f>
        <v>742</v>
      </c>
      <c r="G183">
        <f t="shared" ref="G183" si="514">G182</f>
        <v>69</v>
      </c>
      <c r="H183">
        <f t="shared" ref="H183" si="515">H182</f>
        <v>1</v>
      </c>
      <c r="I183">
        <f t="shared" ref="I183" si="516">I182</f>
        <v>1</v>
      </c>
      <c r="J183">
        <f t="shared" ref="J183" si="517">J182</f>
        <v>8</v>
      </c>
      <c r="K183">
        <v>1</v>
      </c>
      <c r="L183">
        <v>1</v>
      </c>
      <c r="M183">
        <v>30</v>
      </c>
      <c r="N183">
        <v>30</v>
      </c>
      <c r="O183">
        <v>15</v>
      </c>
      <c r="P183">
        <v>19</v>
      </c>
      <c r="Q183">
        <v>33</v>
      </c>
      <c r="R183">
        <v>53</v>
      </c>
      <c r="S183">
        <v>18</v>
      </c>
      <c r="T183">
        <v>31</v>
      </c>
      <c r="U183">
        <f t="shared" ref="U183" si="518">U182</f>
        <v>10</v>
      </c>
      <c r="V183">
        <v>13</v>
      </c>
      <c r="W183">
        <f t="shared" ref="W183" si="519">W182</f>
        <v>1</v>
      </c>
      <c r="X183">
        <v>12</v>
      </c>
      <c r="Y183">
        <f t="shared" ref="Y183" si="520">Y182</f>
        <v>0</v>
      </c>
      <c r="Z183">
        <v>15</v>
      </c>
      <c r="AA183">
        <v>20</v>
      </c>
      <c r="AB183">
        <v>49</v>
      </c>
      <c r="AC183">
        <v>79</v>
      </c>
      <c r="AD183">
        <v>49</v>
      </c>
      <c r="AE183">
        <v>49</v>
      </c>
      <c r="AF183">
        <v>59</v>
      </c>
      <c r="AG183">
        <v>89</v>
      </c>
      <c r="AH183">
        <v>59</v>
      </c>
      <c r="AI183">
        <v>39</v>
      </c>
      <c r="AJ183">
        <v>3</v>
      </c>
      <c r="AK183">
        <v>13</v>
      </c>
      <c r="AL183">
        <v>0</v>
      </c>
      <c r="AM183">
        <v>-1</v>
      </c>
      <c r="AN183">
        <v>0</v>
      </c>
      <c r="AO183">
        <v>0</v>
      </c>
      <c r="AP183">
        <v>0</v>
      </c>
      <c r="AQ183">
        <v>0</v>
      </c>
      <c r="AR183">
        <f t="shared" si="357"/>
        <v>0</v>
      </c>
      <c r="AS183">
        <f>IF(AND(IFERROR(VLOOKUP(AJ183,Equip!$A:$N,13,FALSE),0)&gt;=5,IFERROR(VLOOKUP(AJ183,Equip!$A:$N,13,FALSE),0)&lt;=9),INT(VLOOKUP(AJ183,Equip!$A:$N,6,FALSE)*SQRT(AN183)),0)</f>
        <v>0</v>
      </c>
      <c r="AT183">
        <f>IF(AND(IFERROR(VLOOKUP(AK183,Equip!$A:$N,13,FALSE),0)&gt;=5,IFERROR(VLOOKUP(AK183,Equip!$A:$N,13,FALSE),0)&lt;=9),INT(VLOOKUP(AK183,Equip!$A:$N,6,FALSE)*SQRT(AO183)),0)</f>
        <v>0</v>
      </c>
      <c r="AU183">
        <f>IF(AND(IFERROR(VLOOKUP(AL183,Equip!$A:$N,13,FALSE),0)&gt;=5,IFERROR(VLOOKUP(AL183,Equip!$A:$N,13,FALSE),0)&lt;=9),INT(VLOOKUP(AL183,Equip!$A:$N,6,FALSE)*SQRT(AP183)),0)</f>
        <v>0</v>
      </c>
      <c r="AV183">
        <f>IF(AND(IFERROR(VLOOKUP(AM183,Equip!$A:$N,13,FALSE),0)&gt;=5,IFERROR(VLOOKUP(AM183,Equip!$A:$N,13,FALSE),0)&lt;=9),INT(VLOOKUP(AM183,Equip!$A:$N,6,FALSE)*SQRT(AQ183)),0)</f>
        <v>0</v>
      </c>
      <c r="AW183">
        <f t="shared" si="355"/>
        <v>0</v>
      </c>
      <c r="AX183">
        <f t="shared" si="356"/>
        <v>443</v>
      </c>
    </row>
    <row r="184" spans="1:50">
      <c r="A184">
        <v>70</v>
      </c>
      <c r="B184" t="s">
        <v>804</v>
      </c>
      <c r="C184" t="s">
        <v>804</v>
      </c>
      <c r="D184">
        <v>0</v>
      </c>
      <c r="E184">
        <v>1284</v>
      </c>
      <c r="F184">
        <v>742</v>
      </c>
      <c r="G184">
        <v>70</v>
      </c>
      <c r="H184">
        <v>1</v>
      </c>
      <c r="I184">
        <v>1</v>
      </c>
      <c r="J184">
        <v>6</v>
      </c>
      <c r="K184">
        <v>1</v>
      </c>
      <c r="L184">
        <v>1</v>
      </c>
      <c r="M184">
        <v>15</v>
      </c>
      <c r="N184">
        <v>15</v>
      </c>
      <c r="O184">
        <v>10</v>
      </c>
      <c r="P184">
        <v>5</v>
      </c>
      <c r="Q184">
        <v>27</v>
      </c>
      <c r="R184">
        <v>41</v>
      </c>
      <c r="S184">
        <v>12</v>
      </c>
      <c r="T184">
        <v>20</v>
      </c>
      <c r="U184">
        <v>10</v>
      </c>
      <c r="V184">
        <v>5</v>
      </c>
      <c r="W184">
        <v>1</v>
      </c>
      <c r="X184">
        <v>20</v>
      </c>
      <c r="Y184">
        <v>0</v>
      </c>
      <c r="Z184">
        <v>15</v>
      </c>
      <c r="AA184">
        <v>20</v>
      </c>
      <c r="AB184">
        <v>29</v>
      </c>
      <c r="AC184">
        <v>69</v>
      </c>
      <c r="AD184">
        <v>39</v>
      </c>
      <c r="AE184">
        <v>19</v>
      </c>
      <c r="AF184">
        <v>79</v>
      </c>
      <c r="AG184">
        <v>79</v>
      </c>
      <c r="AH184">
        <v>49</v>
      </c>
      <c r="AI184">
        <v>19</v>
      </c>
      <c r="AJ184">
        <v>2</v>
      </c>
      <c r="AK184">
        <v>0</v>
      </c>
      <c r="AL184">
        <v>-1</v>
      </c>
      <c r="AM184">
        <v>-1</v>
      </c>
      <c r="AN184">
        <v>0</v>
      </c>
      <c r="AO184">
        <v>0</v>
      </c>
      <c r="AP184">
        <v>0</v>
      </c>
      <c r="AQ184">
        <v>0</v>
      </c>
      <c r="AR184">
        <f t="shared" si="357"/>
        <v>0</v>
      </c>
      <c r="AS184">
        <f>IF(AND(IFERROR(VLOOKUP(AJ184,Equip!$A:$N,13,FALSE),0)&gt;=5,IFERROR(VLOOKUP(AJ184,Equip!$A:$N,13,FALSE),0)&lt;=9),INT(VLOOKUP(AJ184,Equip!$A:$N,6,FALSE)*SQRT(AN184)),0)</f>
        <v>0</v>
      </c>
      <c r="AT184">
        <f>IF(AND(IFERROR(VLOOKUP(AK184,Equip!$A:$N,13,FALSE),0)&gt;=5,IFERROR(VLOOKUP(AK184,Equip!$A:$N,13,FALSE),0)&lt;=9),INT(VLOOKUP(AK184,Equip!$A:$N,6,FALSE)*SQRT(AO184)),0)</f>
        <v>0</v>
      </c>
      <c r="AU184">
        <f>IF(AND(IFERROR(VLOOKUP(AL184,Equip!$A:$N,13,FALSE),0)&gt;=5,IFERROR(VLOOKUP(AL184,Equip!$A:$N,13,FALSE),0)&lt;=9),INT(VLOOKUP(AL184,Equip!$A:$N,6,FALSE)*SQRT(AP184)),0)</f>
        <v>0</v>
      </c>
      <c r="AV184">
        <f>IF(AND(IFERROR(VLOOKUP(AM184,Equip!$A:$N,13,FALSE),0)&gt;=5,IFERROR(VLOOKUP(AM184,Equip!$A:$N,13,FALSE),0)&lt;=9),INT(VLOOKUP(AM184,Equip!$A:$N,6,FALSE)*SQRT(AQ184)),0)</f>
        <v>0</v>
      </c>
      <c r="AW184">
        <f t="shared" si="355"/>
        <v>0</v>
      </c>
      <c r="AX184">
        <f t="shared" si="356"/>
        <v>318</v>
      </c>
    </row>
    <row r="185" spans="1:50">
      <c r="A185">
        <v>70</v>
      </c>
      <c r="B185" t="s">
        <v>804</v>
      </c>
      <c r="C185" t="s">
        <v>804</v>
      </c>
      <c r="D185">
        <v>1</v>
      </c>
      <c r="E185">
        <f t="shared" ref="E185:E186" si="521">E184</f>
        <v>1284</v>
      </c>
      <c r="F185">
        <f t="shared" ref="F185:F186" si="522">F184</f>
        <v>742</v>
      </c>
      <c r="G185">
        <f t="shared" ref="G185:G186" si="523">G184</f>
        <v>70</v>
      </c>
      <c r="H185">
        <f t="shared" ref="H185:H186" si="524">H184</f>
        <v>1</v>
      </c>
      <c r="I185">
        <f t="shared" ref="I185:I186" si="525">I184</f>
        <v>1</v>
      </c>
      <c r="J185">
        <f t="shared" ref="J185:J186" si="526">J184</f>
        <v>6</v>
      </c>
      <c r="K185">
        <v>1</v>
      </c>
      <c r="L185">
        <v>1</v>
      </c>
      <c r="M185">
        <v>30</v>
      </c>
      <c r="N185">
        <v>30</v>
      </c>
      <c r="O185">
        <v>15</v>
      </c>
      <c r="P185">
        <v>16</v>
      </c>
      <c r="Q185">
        <v>33</v>
      </c>
      <c r="R185">
        <v>53</v>
      </c>
      <c r="S185">
        <v>18</v>
      </c>
      <c r="T185">
        <v>31</v>
      </c>
      <c r="U185">
        <f t="shared" ref="U185:U186" si="527">U184</f>
        <v>10</v>
      </c>
      <c r="V185">
        <v>13</v>
      </c>
      <c r="W185">
        <f t="shared" ref="W185:W186" si="528">W184</f>
        <v>1</v>
      </c>
      <c r="X185">
        <v>20</v>
      </c>
      <c r="Y185">
        <f t="shared" ref="Y185:Y186" si="529">Y184</f>
        <v>0</v>
      </c>
      <c r="Z185">
        <v>15</v>
      </c>
      <c r="AA185">
        <v>20</v>
      </c>
      <c r="AB185">
        <v>49</v>
      </c>
      <c r="AC185">
        <v>79</v>
      </c>
      <c r="AD185">
        <v>49</v>
      </c>
      <c r="AE185">
        <v>49</v>
      </c>
      <c r="AF185">
        <v>79</v>
      </c>
      <c r="AG185">
        <v>89</v>
      </c>
      <c r="AH185">
        <v>59</v>
      </c>
      <c r="AI185">
        <v>39</v>
      </c>
      <c r="AJ185">
        <v>3</v>
      </c>
      <c r="AK185">
        <v>13</v>
      </c>
      <c r="AL185">
        <v>0</v>
      </c>
      <c r="AM185">
        <v>-1</v>
      </c>
      <c r="AN185">
        <v>0</v>
      </c>
      <c r="AO185">
        <v>0</v>
      </c>
      <c r="AP185">
        <v>0</v>
      </c>
      <c r="AQ185">
        <v>0</v>
      </c>
      <c r="AR185">
        <f t="shared" si="357"/>
        <v>0</v>
      </c>
      <c r="AS185">
        <f>IF(AND(IFERROR(VLOOKUP(AJ185,Equip!$A:$N,13,FALSE),0)&gt;=5,IFERROR(VLOOKUP(AJ185,Equip!$A:$N,13,FALSE),0)&lt;=9),INT(VLOOKUP(AJ185,Equip!$A:$N,6,FALSE)*SQRT(AN185)),0)</f>
        <v>0</v>
      </c>
      <c r="AT185">
        <f>IF(AND(IFERROR(VLOOKUP(AK185,Equip!$A:$N,13,FALSE),0)&gt;=5,IFERROR(VLOOKUP(AK185,Equip!$A:$N,13,FALSE),0)&lt;=9),INT(VLOOKUP(AK185,Equip!$A:$N,6,FALSE)*SQRT(AO185)),0)</f>
        <v>0</v>
      </c>
      <c r="AU185">
        <f>IF(AND(IFERROR(VLOOKUP(AL185,Equip!$A:$N,13,FALSE),0)&gt;=5,IFERROR(VLOOKUP(AL185,Equip!$A:$N,13,FALSE),0)&lt;=9),INT(VLOOKUP(AL185,Equip!$A:$N,6,FALSE)*SQRT(AP185)),0)</f>
        <v>0</v>
      </c>
      <c r="AV185">
        <f>IF(AND(IFERROR(VLOOKUP(AM185,Equip!$A:$N,13,FALSE),0)&gt;=5,IFERROR(VLOOKUP(AM185,Equip!$A:$N,13,FALSE),0)&lt;=9),INT(VLOOKUP(AM185,Equip!$A:$N,6,FALSE)*SQRT(AQ185)),0)</f>
        <v>0</v>
      </c>
      <c r="AW185">
        <f t="shared" si="355"/>
        <v>0</v>
      </c>
      <c r="AX185">
        <f t="shared" si="356"/>
        <v>443</v>
      </c>
    </row>
    <row r="186" spans="1:50">
      <c r="A186">
        <v>70</v>
      </c>
      <c r="B186" t="s">
        <v>804</v>
      </c>
      <c r="C186" t="s">
        <v>804</v>
      </c>
      <c r="D186">
        <v>2</v>
      </c>
      <c r="E186">
        <f t="shared" si="521"/>
        <v>1284</v>
      </c>
      <c r="F186">
        <f t="shared" si="522"/>
        <v>742</v>
      </c>
      <c r="G186">
        <f t="shared" si="523"/>
        <v>70</v>
      </c>
      <c r="H186">
        <f t="shared" si="524"/>
        <v>1</v>
      </c>
      <c r="I186">
        <f t="shared" si="525"/>
        <v>1</v>
      </c>
      <c r="J186">
        <f t="shared" si="526"/>
        <v>6</v>
      </c>
      <c r="K186">
        <v>1</v>
      </c>
      <c r="L186">
        <v>1</v>
      </c>
      <c r="M186">
        <v>33</v>
      </c>
      <c r="N186">
        <v>33</v>
      </c>
      <c r="O186">
        <v>37</v>
      </c>
      <c r="P186">
        <v>42</v>
      </c>
      <c r="Q186">
        <v>64</v>
      </c>
      <c r="R186">
        <v>90</v>
      </c>
      <c r="S186">
        <v>52</v>
      </c>
      <c r="T186">
        <v>69</v>
      </c>
      <c r="U186">
        <f t="shared" si="527"/>
        <v>10</v>
      </c>
      <c r="V186">
        <v>41</v>
      </c>
      <c r="W186">
        <f t="shared" si="528"/>
        <v>1</v>
      </c>
      <c r="X186">
        <v>32</v>
      </c>
      <c r="Y186">
        <f t="shared" si="529"/>
        <v>0</v>
      </c>
      <c r="Z186">
        <v>15</v>
      </c>
      <c r="AA186">
        <v>20</v>
      </c>
      <c r="AB186">
        <v>53</v>
      </c>
      <c r="AC186">
        <v>80</v>
      </c>
      <c r="AD186">
        <v>76</v>
      </c>
      <c r="AE186">
        <v>56</v>
      </c>
      <c r="AF186">
        <v>83</v>
      </c>
      <c r="AG186">
        <v>94</v>
      </c>
      <c r="AH186">
        <v>72</v>
      </c>
      <c r="AI186">
        <v>48</v>
      </c>
      <c r="AJ186">
        <v>40</v>
      </c>
      <c r="AK186">
        <v>39</v>
      </c>
      <c r="AL186">
        <v>44</v>
      </c>
      <c r="AM186">
        <v>-1</v>
      </c>
      <c r="AN186">
        <v>0</v>
      </c>
      <c r="AO186">
        <v>0</v>
      </c>
      <c r="AP186">
        <v>0</v>
      </c>
      <c r="AQ186">
        <v>0</v>
      </c>
      <c r="AR186">
        <f t="shared" si="357"/>
        <v>0</v>
      </c>
      <c r="AS186">
        <f>IF(AND(IFERROR(VLOOKUP(AJ186,Equip!$A:$N,13,FALSE),0)&gt;=5,IFERROR(VLOOKUP(AJ186,Equip!$A:$N,13,FALSE),0)&lt;=9),INT(VLOOKUP(AJ186,Equip!$A:$N,6,FALSE)*SQRT(AN186)),0)</f>
        <v>0</v>
      </c>
      <c r="AT186">
        <f>IF(AND(IFERROR(VLOOKUP(AK186,Equip!$A:$N,13,FALSE),0)&gt;=5,IFERROR(VLOOKUP(AK186,Equip!$A:$N,13,FALSE),0)&lt;=9),INT(VLOOKUP(AK186,Equip!$A:$N,6,FALSE)*SQRT(AO186)),0)</f>
        <v>0</v>
      </c>
      <c r="AU186">
        <f>IF(AND(IFERROR(VLOOKUP(AL186,Equip!$A:$N,13,FALSE),0)&gt;=5,IFERROR(VLOOKUP(AL186,Equip!$A:$N,13,FALSE),0)&lt;=9),INT(VLOOKUP(AL186,Equip!$A:$N,6,FALSE)*SQRT(AP186)),0)</f>
        <v>0</v>
      </c>
      <c r="AV186">
        <f>IF(AND(IFERROR(VLOOKUP(AM186,Equip!$A:$N,13,FALSE),0)&gt;=5,IFERROR(VLOOKUP(AM186,Equip!$A:$N,13,FALSE),0)&lt;=9),INT(VLOOKUP(AM186,Equip!$A:$N,6,FALSE)*SQRT(AQ186)),0)</f>
        <v>0</v>
      </c>
      <c r="AW186">
        <f t="shared" si="355"/>
        <v>0</v>
      </c>
      <c r="AX186">
        <f t="shared" si="356"/>
        <v>512</v>
      </c>
    </row>
    <row r="187" spans="1:50">
      <c r="A187">
        <v>71</v>
      </c>
      <c r="B187" t="s">
        <v>805</v>
      </c>
      <c r="C187" t="s">
        <v>805</v>
      </c>
      <c r="D187">
        <v>0</v>
      </c>
      <c r="E187">
        <v>1284</v>
      </c>
      <c r="F187">
        <v>742</v>
      </c>
      <c r="G187">
        <v>71</v>
      </c>
      <c r="H187">
        <v>0</v>
      </c>
      <c r="I187">
        <v>1</v>
      </c>
      <c r="J187">
        <v>2</v>
      </c>
      <c r="K187">
        <v>1</v>
      </c>
      <c r="L187">
        <v>1</v>
      </c>
      <c r="M187">
        <v>15</v>
      </c>
      <c r="N187">
        <v>15</v>
      </c>
      <c r="O187">
        <v>10</v>
      </c>
      <c r="P187">
        <v>6</v>
      </c>
      <c r="Q187">
        <v>27</v>
      </c>
      <c r="R187">
        <v>42</v>
      </c>
      <c r="S187">
        <v>12</v>
      </c>
      <c r="T187">
        <v>20</v>
      </c>
      <c r="U187">
        <v>10</v>
      </c>
      <c r="V187">
        <v>5</v>
      </c>
      <c r="W187">
        <v>1</v>
      </c>
      <c r="X187">
        <v>12</v>
      </c>
      <c r="Y187">
        <v>0</v>
      </c>
      <c r="Z187">
        <v>15</v>
      </c>
      <c r="AA187">
        <v>20</v>
      </c>
      <c r="AB187">
        <v>29</v>
      </c>
      <c r="AC187">
        <v>79</v>
      </c>
      <c r="AD187">
        <v>39</v>
      </c>
      <c r="AE187">
        <v>19</v>
      </c>
      <c r="AF187">
        <v>49</v>
      </c>
      <c r="AG187">
        <v>89</v>
      </c>
      <c r="AH187">
        <v>49</v>
      </c>
      <c r="AI187">
        <v>19</v>
      </c>
      <c r="AJ187">
        <v>10</v>
      </c>
      <c r="AK187">
        <v>13</v>
      </c>
      <c r="AL187">
        <v>-1</v>
      </c>
      <c r="AM187">
        <v>-1</v>
      </c>
      <c r="AN187">
        <v>0</v>
      </c>
      <c r="AO187">
        <v>0</v>
      </c>
      <c r="AP187">
        <v>0</v>
      </c>
      <c r="AQ187">
        <v>0</v>
      </c>
      <c r="AR187">
        <f t="shared" si="357"/>
        <v>0</v>
      </c>
      <c r="AS187">
        <f>IF(AND(IFERROR(VLOOKUP(AJ187,Equip!$A:$N,13,FALSE),0)&gt;=5,IFERROR(VLOOKUP(AJ187,Equip!$A:$N,13,FALSE),0)&lt;=9),INT(VLOOKUP(AJ187,Equip!$A:$N,6,FALSE)*SQRT(AN187)),0)</f>
        <v>0</v>
      </c>
      <c r="AT187">
        <f>IF(AND(IFERROR(VLOOKUP(AK187,Equip!$A:$N,13,FALSE),0)&gt;=5,IFERROR(VLOOKUP(AK187,Equip!$A:$N,13,FALSE),0)&lt;=9),INT(VLOOKUP(AK187,Equip!$A:$N,6,FALSE)*SQRT(AO187)),0)</f>
        <v>0</v>
      </c>
      <c r="AU187">
        <f>IF(AND(IFERROR(VLOOKUP(AL187,Equip!$A:$N,13,FALSE),0)&gt;=5,IFERROR(VLOOKUP(AL187,Equip!$A:$N,13,FALSE),0)&lt;=9),INT(VLOOKUP(AL187,Equip!$A:$N,6,FALSE)*SQRT(AP187)),0)</f>
        <v>0</v>
      </c>
      <c r="AV187">
        <f>IF(AND(IFERROR(VLOOKUP(AM187,Equip!$A:$N,13,FALSE),0)&gt;=5,IFERROR(VLOOKUP(AM187,Equip!$A:$N,13,FALSE),0)&lt;=9),INT(VLOOKUP(AM187,Equip!$A:$N,6,FALSE)*SQRT(AQ187)),0)</f>
        <v>0</v>
      </c>
      <c r="AW187">
        <f t="shared" si="355"/>
        <v>0</v>
      </c>
      <c r="AX187">
        <f t="shared" si="356"/>
        <v>338</v>
      </c>
    </row>
    <row r="188" spans="1:50">
      <c r="A188">
        <v>71</v>
      </c>
      <c r="B188" t="s">
        <v>805</v>
      </c>
      <c r="C188" t="s">
        <v>805</v>
      </c>
      <c r="D188">
        <v>1</v>
      </c>
      <c r="E188">
        <f t="shared" ref="E188:E189" si="530">E187</f>
        <v>1284</v>
      </c>
      <c r="F188">
        <f t="shared" ref="F188:F189" si="531">F187</f>
        <v>742</v>
      </c>
      <c r="G188">
        <f t="shared" ref="G188:G189" si="532">G187</f>
        <v>71</v>
      </c>
      <c r="H188">
        <f t="shared" ref="H188:H189" si="533">H187</f>
        <v>0</v>
      </c>
      <c r="I188">
        <f t="shared" ref="I188:I189" si="534">I187</f>
        <v>1</v>
      </c>
      <c r="J188">
        <f t="shared" ref="J188:J189" si="535">J187</f>
        <v>2</v>
      </c>
      <c r="K188">
        <v>1</v>
      </c>
      <c r="L188">
        <v>1</v>
      </c>
      <c r="M188">
        <v>30</v>
      </c>
      <c r="N188">
        <v>30</v>
      </c>
      <c r="O188">
        <v>17</v>
      </c>
      <c r="P188">
        <v>16</v>
      </c>
      <c r="Q188">
        <v>37</v>
      </c>
      <c r="R188">
        <v>53</v>
      </c>
      <c r="S188">
        <v>21</v>
      </c>
      <c r="T188">
        <v>31</v>
      </c>
      <c r="U188">
        <f t="shared" ref="U188:U189" si="536">U187</f>
        <v>10</v>
      </c>
      <c r="V188">
        <v>13</v>
      </c>
      <c r="W188">
        <f t="shared" ref="W188:W189" si="537">W187</f>
        <v>1</v>
      </c>
      <c r="X188">
        <v>12</v>
      </c>
      <c r="Y188">
        <f t="shared" ref="Y188:Y189" si="538">Y187</f>
        <v>0</v>
      </c>
      <c r="Z188">
        <v>15</v>
      </c>
      <c r="AA188">
        <v>20</v>
      </c>
      <c r="AB188">
        <v>49</v>
      </c>
      <c r="AC188">
        <v>79</v>
      </c>
      <c r="AD188">
        <v>49</v>
      </c>
      <c r="AE188">
        <v>49</v>
      </c>
      <c r="AF188">
        <v>59</v>
      </c>
      <c r="AG188">
        <v>89</v>
      </c>
      <c r="AH188">
        <v>59</v>
      </c>
      <c r="AI188">
        <v>39</v>
      </c>
      <c r="AJ188">
        <v>3</v>
      </c>
      <c r="AK188">
        <v>13</v>
      </c>
      <c r="AL188">
        <v>0</v>
      </c>
      <c r="AM188">
        <v>-1</v>
      </c>
      <c r="AN188">
        <v>0</v>
      </c>
      <c r="AO188">
        <v>0</v>
      </c>
      <c r="AP188">
        <v>0</v>
      </c>
      <c r="AQ188">
        <v>0</v>
      </c>
      <c r="AR188">
        <f t="shared" si="357"/>
        <v>0</v>
      </c>
      <c r="AS188">
        <f>IF(AND(IFERROR(VLOOKUP(AJ188,Equip!$A:$N,13,FALSE),0)&gt;=5,IFERROR(VLOOKUP(AJ188,Equip!$A:$N,13,FALSE),0)&lt;=9),INT(VLOOKUP(AJ188,Equip!$A:$N,6,FALSE)*SQRT(AN188)),0)</f>
        <v>0</v>
      </c>
      <c r="AT188">
        <f>IF(AND(IFERROR(VLOOKUP(AK188,Equip!$A:$N,13,FALSE),0)&gt;=5,IFERROR(VLOOKUP(AK188,Equip!$A:$N,13,FALSE),0)&lt;=9),INT(VLOOKUP(AK188,Equip!$A:$N,6,FALSE)*SQRT(AO188)),0)</f>
        <v>0</v>
      </c>
      <c r="AU188">
        <f>IF(AND(IFERROR(VLOOKUP(AL188,Equip!$A:$N,13,FALSE),0)&gt;=5,IFERROR(VLOOKUP(AL188,Equip!$A:$N,13,FALSE),0)&lt;=9),INT(VLOOKUP(AL188,Equip!$A:$N,6,FALSE)*SQRT(AP188)),0)</f>
        <v>0</v>
      </c>
      <c r="AV188">
        <f>IF(AND(IFERROR(VLOOKUP(AM188,Equip!$A:$N,13,FALSE),0)&gt;=5,IFERROR(VLOOKUP(AM188,Equip!$A:$N,13,FALSE),0)&lt;=9),INT(VLOOKUP(AM188,Equip!$A:$N,6,FALSE)*SQRT(AQ188)),0)</f>
        <v>0</v>
      </c>
      <c r="AW188">
        <f t="shared" si="355"/>
        <v>0</v>
      </c>
      <c r="AX188">
        <f t="shared" si="356"/>
        <v>443</v>
      </c>
    </row>
    <row r="189" spans="1:50">
      <c r="A189">
        <v>71</v>
      </c>
      <c r="B189" t="s">
        <v>805</v>
      </c>
      <c r="C189" t="s">
        <v>805</v>
      </c>
      <c r="D189">
        <v>2</v>
      </c>
      <c r="E189">
        <f t="shared" si="530"/>
        <v>1284</v>
      </c>
      <c r="F189">
        <f t="shared" si="531"/>
        <v>742</v>
      </c>
      <c r="G189">
        <f t="shared" si="532"/>
        <v>71</v>
      </c>
      <c r="H189">
        <f t="shared" si="533"/>
        <v>0</v>
      </c>
      <c r="I189">
        <f t="shared" si="534"/>
        <v>1</v>
      </c>
      <c r="J189">
        <f t="shared" si="535"/>
        <v>2</v>
      </c>
      <c r="K189">
        <v>1</v>
      </c>
      <c r="L189">
        <v>1</v>
      </c>
      <c r="M189">
        <v>31</v>
      </c>
      <c r="N189">
        <v>31</v>
      </c>
      <c r="O189">
        <v>42</v>
      </c>
      <c r="P189">
        <v>35</v>
      </c>
      <c r="Q189">
        <v>65</v>
      </c>
      <c r="R189">
        <v>76</v>
      </c>
      <c r="S189">
        <v>42</v>
      </c>
      <c r="T189">
        <v>54</v>
      </c>
      <c r="U189">
        <f t="shared" si="536"/>
        <v>10</v>
      </c>
      <c r="V189">
        <v>47</v>
      </c>
      <c r="W189">
        <f t="shared" si="537"/>
        <v>1</v>
      </c>
      <c r="X189">
        <v>15</v>
      </c>
      <c r="Y189">
        <f t="shared" si="538"/>
        <v>0</v>
      </c>
      <c r="Z189">
        <v>15</v>
      </c>
      <c r="AA189">
        <v>20</v>
      </c>
      <c r="AB189">
        <v>62</v>
      </c>
      <c r="AC189">
        <v>90</v>
      </c>
      <c r="AD189">
        <v>59</v>
      </c>
      <c r="AE189">
        <v>50</v>
      </c>
      <c r="AF189">
        <v>67</v>
      </c>
      <c r="AG189">
        <v>89</v>
      </c>
      <c r="AH189">
        <v>66</v>
      </c>
      <c r="AI189">
        <v>60</v>
      </c>
      <c r="AJ189">
        <v>91</v>
      </c>
      <c r="AK189">
        <v>74</v>
      </c>
      <c r="AL189">
        <v>125</v>
      </c>
      <c r="AM189">
        <v>-1</v>
      </c>
      <c r="AN189">
        <v>0</v>
      </c>
      <c r="AO189">
        <v>0</v>
      </c>
      <c r="AP189">
        <v>0</v>
      </c>
      <c r="AQ189">
        <v>0</v>
      </c>
      <c r="AR189">
        <f t="shared" si="357"/>
        <v>0</v>
      </c>
      <c r="AS189">
        <f>IF(AND(IFERROR(VLOOKUP(AJ189,Equip!$A:$N,13,FALSE),0)&gt;=5,IFERROR(VLOOKUP(AJ189,Equip!$A:$N,13,FALSE),0)&lt;=9),INT(VLOOKUP(AJ189,Equip!$A:$N,6,FALSE)*SQRT(AN189)),0)</f>
        <v>0</v>
      </c>
      <c r="AT189">
        <f>IF(AND(IFERROR(VLOOKUP(AK189,Equip!$A:$N,13,FALSE),0)&gt;=5,IFERROR(VLOOKUP(AK189,Equip!$A:$N,13,FALSE),0)&lt;=9),INT(VLOOKUP(AK189,Equip!$A:$N,6,FALSE)*SQRT(AO189)),0)</f>
        <v>0</v>
      </c>
      <c r="AU189">
        <f>IF(AND(IFERROR(VLOOKUP(AL189,Equip!$A:$N,13,FALSE),0)&gt;=5,IFERROR(VLOOKUP(AL189,Equip!$A:$N,13,FALSE),0)&lt;=9),INT(VLOOKUP(AL189,Equip!$A:$N,6,FALSE)*SQRT(AP189)),0)</f>
        <v>0</v>
      </c>
      <c r="AV189">
        <f>IF(AND(IFERROR(VLOOKUP(AM189,Equip!$A:$N,13,FALSE),0)&gt;=5,IFERROR(VLOOKUP(AM189,Equip!$A:$N,13,FALSE),0)&lt;=9),INT(VLOOKUP(AM189,Equip!$A:$N,6,FALSE)*SQRT(AQ189)),0)</f>
        <v>0</v>
      </c>
      <c r="AW189">
        <f t="shared" si="355"/>
        <v>0</v>
      </c>
      <c r="AX189">
        <f t="shared" si="356"/>
        <v>507</v>
      </c>
    </row>
    <row r="190" spans="1:50">
      <c r="A190">
        <v>72</v>
      </c>
      <c r="B190" t="s">
        <v>806</v>
      </c>
      <c r="C190" t="s">
        <v>806</v>
      </c>
      <c r="D190">
        <v>0</v>
      </c>
      <c r="E190">
        <v>1284</v>
      </c>
      <c r="F190">
        <v>742</v>
      </c>
      <c r="G190">
        <v>72</v>
      </c>
      <c r="H190">
        <v>0</v>
      </c>
      <c r="I190">
        <v>1</v>
      </c>
      <c r="J190">
        <v>10</v>
      </c>
      <c r="K190">
        <v>1</v>
      </c>
      <c r="L190">
        <v>1</v>
      </c>
      <c r="M190">
        <v>15</v>
      </c>
      <c r="N190">
        <v>15</v>
      </c>
      <c r="O190">
        <v>10</v>
      </c>
      <c r="P190">
        <v>6</v>
      </c>
      <c r="Q190">
        <v>27</v>
      </c>
      <c r="R190">
        <v>42</v>
      </c>
      <c r="S190">
        <v>12</v>
      </c>
      <c r="T190">
        <v>20</v>
      </c>
      <c r="U190">
        <v>10</v>
      </c>
      <c r="V190">
        <v>5</v>
      </c>
      <c r="W190">
        <v>1</v>
      </c>
      <c r="X190">
        <v>10</v>
      </c>
      <c r="Y190">
        <v>0</v>
      </c>
      <c r="Z190">
        <v>15</v>
      </c>
      <c r="AA190">
        <v>20</v>
      </c>
      <c r="AB190">
        <v>29</v>
      </c>
      <c r="AC190">
        <v>79</v>
      </c>
      <c r="AD190">
        <v>39</v>
      </c>
      <c r="AE190">
        <v>19</v>
      </c>
      <c r="AF190">
        <v>49</v>
      </c>
      <c r="AG190">
        <v>79</v>
      </c>
      <c r="AH190">
        <v>49</v>
      </c>
      <c r="AI190">
        <v>19</v>
      </c>
      <c r="AJ190">
        <v>10</v>
      </c>
      <c r="AK190">
        <v>0</v>
      </c>
      <c r="AL190">
        <v>-1</v>
      </c>
      <c r="AM190">
        <v>-1</v>
      </c>
      <c r="AN190">
        <v>0</v>
      </c>
      <c r="AO190">
        <v>0</v>
      </c>
      <c r="AP190">
        <v>0</v>
      </c>
      <c r="AQ190">
        <v>0</v>
      </c>
      <c r="AR190">
        <f t="shared" si="357"/>
        <v>0</v>
      </c>
      <c r="AS190">
        <f>IF(AND(IFERROR(VLOOKUP(AJ190,Equip!$A:$N,13,FALSE),0)&gt;=5,IFERROR(VLOOKUP(AJ190,Equip!$A:$N,13,FALSE),0)&lt;=9),INT(VLOOKUP(AJ190,Equip!$A:$N,6,FALSE)*SQRT(AN190)),0)</f>
        <v>0</v>
      </c>
      <c r="AT190">
        <f>IF(AND(IFERROR(VLOOKUP(AK190,Equip!$A:$N,13,FALSE),0)&gt;=5,IFERROR(VLOOKUP(AK190,Equip!$A:$N,13,FALSE),0)&lt;=9),INT(VLOOKUP(AK190,Equip!$A:$N,6,FALSE)*SQRT(AO190)),0)</f>
        <v>0</v>
      </c>
      <c r="AU190">
        <f>IF(AND(IFERROR(VLOOKUP(AL190,Equip!$A:$N,13,FALSE),0)&gt;=5,IFERROR(VLOOKUP(AL190,Equip!$A:$N,13,FALSE),0)&lt;=9),INT(VLOOKUP(AL190,Equip!$A:$N,6,FALSE)*SQRT(AP190)),0)</f>
        <v>0</v>
      </c>
      <c r="AV190">
        <f>IF(AND(IFERROR(VLOOKUP(AM190,Equip!$A:$N,13,FALSE),0)&gt;=5,IFERROR(VLOOKUP(AM190,Equip!$A:$N,13,FALSE),0)&lt;=9),INT(VLOOKUP(AM190,Equip!$A:$N,6,FALSE)*SQRT(AQ190)),0)</f>
        <v>0</v>
      </c>
      <c r="AW190">
        <f t="shared" si="355"/>
        <v>0</v>
      </c>
      <c r="AX190">
        <f t="shared" si="356"/>
        <v>328</v>
      </c>
    </row>
    <row r="191" spans="1:50">
      <c r="A191">
        <v>72</v>
      </c>
      <c r="B191" t="s">
        <v>806</v>
      </c>
      <c r="C191" t="s">
        <v>806</v>
      </c>
      <c r="D191">
        <v>1</v>
      </c>
      <c r="E191">
        <f t="shared" ref="E191:E192" si="539">E190</f>
        <v>1284</v>
      </c>
      <c r="F191">
        <f t="shared" ref="F191:F192" si="540">F190</f>
        <v>742</v>
      </c>
      <c r="G191">
        <f t="shared" ref="G191:G192" si="541">G190</f>
        <v>72</v>
      </c>
      <c r="H191">
        <f t="shared" ref="H191:H192" si="542">H190</f>
        <v>0</v>
      </c>
      <c r="I191">
        <f t="shared" ref="I191:I192" si="543">I190</f>
        <v>1</v>
      </c>
      <c r="J191">
        <f t="shared" ref="J191:J192" si="544">J190</f>
        <v>10</v>
      </c>
      <c r="K191">
        <v>1</v>
      </c>
      <c r="L191">
        <v>1</v>
      </c>
      <c r="M191">
        <v>30</v>
      </c>
      <c r="N191">
        <v>30</v>
      </c>
      <c r="O191">
        <v>18</v>
      </c>
      <c r="P191">
        <v>16</v>
      </c>
      <c r="Q191">
        <v>37</v>
      </c>
      <c r="R191">
        <v>53</v>
      </c>
      <c r="S191">
        <v>21</v>
      </c>
      <c r="T191">
        <v>31</v>
      </c>
      <c r="U191">
        <f t="shared" ref="U191:U192" si="545">U190</f>
        <v>10</v>
      </c>
      <c r="V191">
        <v>13</v>
      </c>
      <c r="W191">
        <f t="shared" ref="W191:W192" si="546">W190</f>
        <v>1</v>
      </c>
      <c r="X191">
        <v>12</v>
      </c>
      <c r="Y191">
        <f t="shared" ref="Y191:Y192" si="547">Y190</f>
        <v>0</v>
      </c>
      <c r="Z191">
        <v>15</v>
      </c>
      <c r="AA191">
        <v>20</v>
      </c>
      <c r="AB191">
        <v>49</v>
      </c>
      <c r="AC191">
        <v>79</v>
      </c>
      <c r="AD191">
        <v>49</v>
      </c>
      <c r="AE191">
        <v>49</v>
      </c>
      <c r="AF191">
        <v>59</v>
      </c>
      <c r="AG191">
        <v>89</v>
      </c>
      <c r="AH191">
        <v>59</v>
      </c>
      <c r="AI191">
        <v>39</v>
      </c>
      <c r="AJ191">
        <v>3</v>
      </c>
      <c r="AK191">
        <v>13</v>
      </c>
      <c r="AL191">
        <v>0</v>
      </c>
      <c r="AM191">
        <v>-1</v>
      </c>
      <c r="AN191">
        <v>0</v>
      </c>
      <c r="AO191">
        <v>0</v>
      </c>
      <c r="AP191">
        <v>0</v>
      </c>
      <c r="AQ191">
        <v>0</v>
      </c>
      <c r="AR191">
        <f t="shared" si="357"/>
        <v>0</v>
      </c>
      <c r="AS191">
        <f>IF(AND(IFERROR(VLOOKUP(AJ191,Equip!$A:$N,13,FALSE),0)&gt;=5,IFERROR(VLOOKUP(AJ191,Equip!$A:$N,13,FALSE),0)&lt;=9),INT(VLOOKUP(AJ191,Equip!$A:$N,6,FALSE)*SQRT(AN191)),0)</f>
        <v>0</v>
      </c>
      <c r="AT191">
        <f>IF(AND(IFERROR(VLOOKUP(AK191,Equip!$A:$N,13,FALSE),0)&gt;=5,IFERROR(VLOOKUP(AK191,Equip!$A:$N,13,FALSE),0)&lt;=9),INT(VLOOKUP(AK191,Equip!$A:$N,6,FALSE)*SQRT(AO191)),0)</f>
        <v>0</v>
      </c>
      <c r="AU191">
        <f>IF(AND(IFERROR(VLOOKUP(AL191,Equip!$A:$N,13,FALSE),0)&gt;=5,IFERROR(VLOOKUP(AL191,Equip!$A:$N,13,FALSE),0)&lt;=9),INT(VLOOKUP(AL191,Equip!$A:$N,6,FALSE)*SQRT(AP191)),0)</f>
        <v>0</v>
      </c>
      <c r="AV191">
        <f>IF(AND(IFERROR(VLOOKUP(AM191,Equip!$A:$N,13,FALSE),0)&gt;=5,IFERROR(VLOOKUP(AM191,Equip!$A:$N,13,FALSE),0)&lt;=9),INT(VLOOKUP(AM191,Equip!$A:$N,6,FALSE)*SQRT(AQ191)),0)</f>
        <v>0</v>
      </c>
      <c r="AW191">
        <f t="shared" si="355"/>
        <v>0</v>
      </c>
      <c r="AX191">
        <f t="shared" si="356"/>
        <v>443</v>
      </c>
    </row>
    <row r="192" spans="1:50">
      <c r="A192">
        <v>72</v>
      </c>
      <c r="B192" t="s">
        <v>1387</v>
      </c>
      <c r="C192" t="s">
        <v>1387</v>
      </c>
      <c r="D192">
        <v>2</v>
      </c>
      <c r="E192">
        <f t="shared" si="539"/>
        <v>1284</v>
      </c>
      <c r="F192">
        <f t="shared" si="540"/>
        <v>742</v>
      </c>
      <c r="G192">
        <f t="shared" si="541"/>
        <v>72</v>
      </c>
      <c r="H192">
        <f t="shared" si="542"/>
        <v>0</v>
      </c>
      <c r="I192">
        <f t="shared" si="543"/>
        <v>1</v>
      </c>
      <c r="J192">
        <f t="shared" si="544"/>
        <v>10</v>
      </c>
      <c r="K192">
        <v>1</v>
      </c>
      <c r="L192">
        <v>1</v>
      </c>
      <c r="M192">
        <v>37</v>
      </c>
      <c r="N192">
        <v>37</v>
      </c>
      <c r="O192">
        <v>25</v>
      </c>
      <c r="P192">
        <v>38</v>
      </c>
      <c r="Q192">
        <v>47</v>
      </c>
      <c r="R192">
        <v>76</v>
      </c>
      <c r="S192">
        <v>42</v>
      </c>
      <c r="T192">
        <v>61</v>
      </c>
      <c r="U192">
        <f t="shared" si="545"/>
        <v>10</v>
      </c>
      <c r="V192">
        <v>34</v>
      </c>
      <c r="W192">
        <f t="shared" si="546"/>
        <v>1</v>
      </c>
      <c r="X192">
        <v>20</v>
      </c>
      <c r="Y192">
        <f t="shared" si="547"/>
        <v>0</v>
      </c>
      <c r="Z192">
        <v>15</v>
      </c>
      <c r="AA192">
        <v>25</v>
      </c>
      <c r="AB192">
        <v>54</v>
      </c>
      <c r="AC192">
        <v>89</v>
      </c>
      <c r="AD192">
        <v>59</v>
      </c>
      <c r="AE192">
        <v>54</v>
      </c>
      <c r="AF192">
        <v>77</v>
      </c>
      <c r="AG192">
        <v>89</v>
      </c>
      <c r="AH192">
        <v>74</v>
      </c>
      <c r="AI192">
        <v>44</v>
      </c>
      <c r="AJ192">
        <v>0</v>
      </c>
      <c r="AK192">
        <v>0</v>
      </c>
      <c r="AL192">
        <v>0</v>
      </c>
      <c r="AM192">
        <v>-1</v>
      </c>
      <c r="AN192">
        <v>0</v>
      </c>
      <c r="AO192">
        <v>0</v>
      </c>
      <c r="AP192">
        <v>0</v>
      </c>
      <c r="AQ192">
        <v>0</v>
      </c>
      <c r="AR192">
        <f t="shared" si="357"/>
        <v>0</v>
      </c>
      <c r="AS192">
        <f>IF(AND(IFERROR(VLOOKUP(AJ192,Equip!$A:$N,13,FALSE),0)&gt;=5,IFERROR(VLOOKUP(AJ192,Equip!$A:$N,13,FALSE),0)&lt;=9),INT(VLOOKUP(AJ192,Equip!$A:$N,6,FALSE)*SQRT(AN192)),0)</f>
        <v>0</v>
      </c>
      <c r="AT192">
        <f>IF(AND(IFERROR(VLOOKUP(AK192,Equip!$A:$N,13,FALSE),0)&gt;=5,IFERROR(VLOOKUP(AK192,Equip!$A:$N,13,FALSE),0)&lt;=9),INT(VLOOKUP(AK192,Equip!$A:$N,6,FALSE)*SQRT(AO192)),0)</f>
        <v>0</v>
      </c>
      <c r="AU192">
        <f>IF(AND(IFERROR(VLOOKUP(AL192,Equip!$A:$N,13,FALSE),0)&gt;=5,IFERROR(VLOOKUP(AL192,Equip!$A:$N,13,FALSE),0)&lt;=9),INT(VLOOKUP(AL192,Equip!$A:$N,6,FALSE)*SQRT(AP192)),0)</f>
        <v>0</v>
      </c>
      <c r="AV192">
        <f>IF(AND(IFERROR(VLOOKUP(AM192,Equip!$A:$N,13,FALSE),0)&gt;=5,IFERROR(VLOOKUP(AM192,Equip!$A:$N,13,FALSE),0)&lt;=9),INT(VLOOKUP(AM192,Equip!$A:$N,6,FALSE)*SQRT(AQ192)),0)</f>
        <v>0</v>
      </c>
      <c r="AW192">
        <f t="shared" si="355"/>
        <v>0</v>
      </c>
      <c r="AX192">
        <f t="shared" si="356"/>
        <v>500</v>
      </c>
    </row>
    <row r="193" spans="1:50">
      <c r="A193">
        <v>73</v>
      </c>
      <c r="B193" t="s">
        <v>807</v>
      </c>
      <c r="C193" t="s">
        <v>807</v>
      </c>
      <c r="D193">
        <v>0</v>
      </c>
      <c r="E193">
        <v>1284</v>
      </c>
      <c r="F193">
        <v>742</v>
      </c>
      <c r="G193">
        <v>73</v>
      </c>
      <c r="H193">
        <v>0</v>
      </c>
      <c r="I193">
        <v>1</v>
      </c>
      <c r="J193">
        <v>3</v>
      </c>
      <c r="K193">
        <v>1</v>
      </c>
      <c r="L193">
        <v>1</v>
      </c>
      <c r="M193">
        <v>15</v>
      </c>
      <c r="N193">
        <v>15</v>
      </c>
      <c r="O193">
        <v>10</v>
      </c>
      <c r="P193">
        <v>6</v>
      </c>
      <c r="Q193">
        <v>27</v>
      </c>
      <c r="R193">
        <v>42</v>
      </c>
      <c r="S193">
        <v>12</v>
      </c>
      <c r="T193">
        <v>20</v>
      </c>
      <c r="U193">
        <v>10</v>
      </c>
      <c r="V193">
        <v>5</v>
      </c>
      <c r="W193">
        <v>1</v>
      </c>
      <c r="X193">
        <v>10</v>
      </c>
      <c r="Y193">
        <v>0</v>
      </c>
      <c r="Z193">
        <v>15</v>
      </c>
      <c r="AA193">
        <v>20</v>
      </c>
      <c r="AB193">
        <v>29</v>
      </c>
      <c r="AC193">
        <v>69</v>
      </c>
      <c r="AD193">
        <v>39</v>
      </c>
      <c r="AE193">
        <v>20</v>
      </c>
      <c r="AF193">
        <v>49</v>
      </c>
      <c r="AG193">
        <v>79</v>
      </c>
      <c r="AH193">
        <v>49</v>
      </c>
      <c r="AI193">
        <v>19</v>
      </c>
      <c r="AJ193">
        <v>10</v>
      </c>
      <c r="AK193">
        <v>0</v>
      </c>
      <c r="AL193">
        <v>-1</v>
      </c>
      <c r="AM193">
        <v>-1</v>
      </c>
      <c r="AN193">
        <v>0</v>
      </c>
      <c r="AO193">
        <v>0</v>
      </c>
      <c r="AP193">
        <v>0</v>
      </c>
      <c r="AQ193">
        <v>0</v>
      </c>
      <c r="AR193">
        <f t="shared" si="357"/>
        <v>0</v>
      </c>
      <c r="AS193">
        <f>IF(AND(IFERROR(VLOOKUP(AJ193,Equip!$A:$N,13,FALSE),0)&gt;=5,IFERROR(VLOOKUP(AJ193,Equip!$A:$N,13,FALSE),0)&lt;=9),INT(VLOOKUP(AJ193,Equip!$A:$N,6,FALSE)*SQRT(AN193)),0)</f>
        <v>0</v>
      </c>
      <c r="AT193">
        <f>IF(AND(IFERROR(VLOOKUP(AK193,Equip!$A:$N,13,FALSE),0)&gt;=5,IFERROR(VLOOKUP(AK193,Equip!$A:$N,13,FALSE),0)&lt;=9),INT(VLOOKUP(AK193,Equip!$A:$N,6,FALSE)*SQRT(AO193)),0)</f>
        <v>0</v>
      </c>
      <c r="AU193">
        <f>IF(AND(IFERROR(VLOOKUP(AL193,Equip!$A:$N,13,FALSE),0)&gt;=5,IFERROR(VLOOKUP(AL193,Equip!$A:$N,13,FALSE),0)&lt;=9),INT(VLOOKUP(AL193,Equip!$A:$N,6,FALSE)*SQRT(AP193)),0)</f>
        <v>0</v>
      </c>
      <c r="AV193">
        <f>IF(AND(IFERROR(VLOOKUP(AM193,Equip!$A:$N,13,FALSE),0)&gt;=5,IFERROR(VLOOKUP(AM193,Equip!$A:$N,13,FALSE),0)&lt;=9),INT(VLOOKUP(AM193,Equip!$A:$N,6,FALSE)*SQRT(AQ193)),0)</f>
        <v>0</v>
      </c>
      <c r="AW193">
        <f t="shared" si="355"/>
        <v>0</v>
      </c>
      <c r="AX193">
        <f t="shared" si="356"/>
        <v>319</v>
      </c>
    </row>
    <row r="194" spans="1:50">
      <c r="A194">
        <v>73</v>
      </c>
      <c r="B194" t="s">
        <v>807</v>
      </c>
      <c r="C194" t="s">
        <v>807</v>
      </c>
      <c r="D194">
        <v>1</v>
      </c>
      <c r="E194">
        <f>E193</f>
        <v>1284</v>
      </c>
      <c r="F194">
        <f t="shared" ref="F194" si="548">F193</f>
        <v>742</v>
      </c>
      <c r="G194">
        <f t="shared" ref="G194" si="549">G193</f>
        <v>73</v>
      </c>
      <c r="H194">
        <f t="shared" ref="H194" si="550">H193</f>
        <v>0</v>
      </c>
      <c r="I194">
        <f t="shared" ref="I194" si="551">I193</f>
        <v>1</v>
      </c>
      <c r="J194">
        <f t="shared" ref="J194" si="552">J193</f>
        <v>3</v>
      </c>
      <c r="K194">
        <v>1</v>
      </c>
      <c r="L194">
        <v>1</v>
      </c>
      <c r="M194">
        <v>30</v>
      </c>
      <c r="N194">
        <v>30</v>
      </c>
      <c r="O194">
        <v>18</v>
      </c>
      <c r="P194">
        <v>19</v>
      </c>
      <c r="Q194">
        <v>37</v>
      </c>
      <c r="R194">
        <v>53</v>
      </c>
      <c r="S194">
        <v>21</v>
      </c>
      <c r="T194">
        <v>31</v>
      </c>
      <c r="U194">
        <f t="shared" ref="U194" si="553">U193</f>
        <v>10</v>
      </c>
      <c r="V194">
        <v>13</v>
      </c>
      <c r="W194">
        <f t="shared" ref="W194" si="554">W193</f>
        <v>1</v>
      </c>
      <c r="X194">
        <v>12</v>
      </c>
      <c r="Y194">
        <f t="shared" ref="Y194" si="555">Y193</f>
        <v>0</v>
      </c>
      <c r="Z194">
        <v>15</v>
      </c>
      <c r="AA194">
        <v>20</v>
      </c>
      <c r="AB194">
        <v>49</v>
      </c>
      <c r="AC194">
        <v>79</v>
      </c>
      <c r="AD194">
        <v>49</v>
      </c>
      <c r="AE194">
        <v>49</v>
      </c>
      <c r="AF194">
        <v>59</v>
      </c>
      <c r="AG194">
        <v>89</v>
      </c>
      <c r="AH194">
        <v>59</v>
      </c>
      <c r="AI194">
        <v>39</v>
      </c>
      <c r="AJ194">
        <v>3</v>
      </c>
      <c r="AK194">
        <v>13</v>
      </c>
      <c r="AL194">
        <v>0</v>
      </c>
      <c r="AM194">
        <v>-1</v>
      </c>
      <c r="AN194">
        <v>0</v>
      </c>
      <c r="AO194">
        <v>0</v>
      </c>
      <c r="AP194">
        <v>0</v>
      </c>
      <c r="AQ194">
        <v>0</v>
      </c>
      <c r="AR194">
        <f t="shared" si="357"/>
        <v>0</v>
      </c>
      <c r="AS194">
        <f>IF(AND(IFERROR(VLOOKUP(AJ194,Equip!$A:$N,13,FALSE),0)&gt;=5,IFERROR(VLOOKUP(AJ194,Equip!$A:$N,13,FALSE),0)&lt;=9),INT(VLOOKUP(AJ194,Equip!$A:$N,6,FALSE)*SQRT(AN194)),0)</f>
        <v>0</v>
      </c>
      <c r="AT194">
        <f>IF(AND(IFERROR(VLOOKUP(AK194,Equip!$A:$N,13,FALSE),0)&gt;=5,IFERROR(VLOOKUP(AK194,Equip!$A:$N,13,FALSE),0)&lt;=9),INT(VLOOKUP(AK194,Equip!$A:$N,6,FALSE)*SQRT(AO194)),0)</f>
        <v>0</v>
      </c>
      <c r="AU194">
        <f>IF(AND(IFERROR(VLOOKUP(AL194,Equip!$A:$N,13,FALSE),0)&gt;=5,IFERROR(VLOOKUP(AL194,Equip!$A:$N,13,FALSE),0)&lt;=9),INT(VLOOKUP(AL194,Equip!$A:$N,6,FALSE)*SQRT(AP194)),0)</f>
        <v>0</v>
      </c>
      <c r="AV194">
        <f>IF(AND(IFERROR(VLOOKUP(AM194,Equip!$A:$N,13,FALSE),0)&gt;=5,IFERROR(VLOOKUP(AM194,Equip!$A:$N,13,FALSE),0)&lt;=9),INT(VLOOKUP(AM194,Equip!$A:$N,6,FALSE)*SQRT(AQ194)),0)</f>
        <v>0</v>
      </c>
      <c r="AW194">
        <f t="shared" si="355"/>
        <v>0</v>
      </c>
      <c r="AX194">
        <f t="shared" si="356"/>
        <v>443</v>
      </c>
    </row>
    <row r="195" spans="1:50">
      <c r="A195">
        <v>74</v>
      </c>
      <c r="B195" t="s">
        <v>808</v>
      </c>
      <c r="C195" t="s">
        <v>808</v>
      </c>
      <c r="D195">
        <v>0</v>
      </c>
      <c r="E195">
        <v>1284</v>
      </c>
      <c r="F195">
        <v>742</v>
      </c>
      <c r="G195">
        <v>74</v>
      </c>
      <c r="H195">
        <v>0</v>
      </c>
      <c r="I195">
        <v>1</v>
      </c>
      <c r="J195">
        <v>6</v>
      </c>
      <c r="K195">
        <v>1</v>
      </c>
      <c r="L195">
        <v>1</v>
      </c>
      <c r="M195">
        <v>15</v>
      </c>
      <c r="N195">
        <v>15</v>
      </c>
      <c r="O195">
        <v>10</v>
      </c>
      <c r="P195">
        <v>6</v>
      </c>
      <c r="Q195">
        <v>27</v>
      </c>
      <c r="R195">
        <v>42</v>
      </c>
      <c r="S195">
        <v>12</v>
      </c>
      <c r="T195">
        <v>20</v>
      </c>
      <c r="U195">
        <v>10</v>
      </c>
      <c r="V195">
        <v>5</v>
      </c>
      <c r="W195">
        <v>1</v>
      </c>
      <c r="X195">
        <v>10</v>
      </c>
      <c r="Y195">
        <v>0</v>
      </c>
      <c r="Z195">
        <v>15</v>
      </c>
      <c r="AA195">
        <v>20</v>
      </c>
      <c r="AB195">
        <v>29</v>
      </c>
      <c r="AC195">
        <v>69</v>
      </c>
      <c r="AD195">
        <v>39</v>
      </c>
      <c r="AE195">
        <v>19</v>
      </c>
      <c r="AF195">
        <v>49</v>
      </c>
      <c r="AG195">
        <v>79</v>
      </c>
      <c r="AH195">
        <v>49</v>
      </c>
      <c r="AI195">
        <v>19</v>
      </c>
      <c r="AJ195">
        <v>10</v>
      </c>
      <c r="AK195">
        <v>0</v>
      </c>
      <c r="AL195">
        <v>-1</v>
      </c>
      <c r="AM195">
        <v>-1</v>
      </c>
      <c r="AN195">
        <v>0</v>
      </c>
      <c r="AO195">
        <v>0</v>
      </c>
      <c r="AP195">
        <v>0</v>
      </c>
      <c r="AQ195">
        <v>0</v>
      </c>
      <c r="AR195">
        <f t="shared" si="357"/>
        <v>0</v>
      </c>
      <c r="AS195">
        <f>IF(AND(IFERROR(VLOOKUP(AJ195,Equip!$A:$N,13,FALSE),0)&gt;=5,IFERROR(VLOOKUP(AJ195,Equip!$A:$N,13,FALSE),0)&lt;=9),INT(VLOOKUP(AJ195,Equip!$A:$N,6,FALSE)*SQRT(AN195)),0)</f>
        <v>0</v>
      </c>
      <c r="AT195">
        <f>IF(AND(IFERROR(VLOOKUP(AK195,Equip!$A:$N,13,FALSE),0)&gt;=5,IFERROR(VLOOKUP(AK195,Equip!$A:$N,13,FALSE),0)&lt;=9),INT(VLOOKUP(AK195,Equip!$A:$N,6,FALSE)*SQRT(AO195)),0)</f>
        <v>0</v>
      </c>
      <c r="AU195">
        <f>IF(AND(IFERROR(VLOOKUP(AL195,Equip!$A:$N,13,FALSE),0)&gt;=5,IFERROR(VLOOKUP(AL195,Equip!$A:$N,13,FALSE),0)&lt;=9),INT(VLOOKUP(AL195,Equip!$A:$N,6,FALSE)*SQRT(AP195)),0)</f>
        <v>0</v>
      </c>
      <c r="AV195">
        <f>IF(AND(IFERROR(VLOOKUP(AM195,Equip!$A:$N,13,FALSE),0)&gt;=5,IFERROR(VLOOKUP(AM195,Equip!$A:$N,13,FALSE),0)&lt;=9),INT(VLOOKUP(AM195,Equip!$A:$N,6,FALSE)*SQRT(AQ195)),0)</f>
        <v>0</v>
      </c>
      <c r="AW195">
        <f t="shared" si="355"/>
        <v>0</v>
      </c>
      <c r="AX195">
        <f t="shared" si="356"/>
        <v>318</v>
      </c>
    </row>
    <row r="196" spans="1:50">
      <c r="A196">
        <v>74</v>
      </c>
      <c r="B196" t="s">
        <v>808</v>
      </c>
      <c r="C196" t="s">
        <v>808</v>
      </c>
      <c r="D196">
        <v>1</v>
      </c>
      <c r="E196">
        <f>E195</f>
        <v>1284</v>
      </c>
      <c r="F196">
        <f t="shared" ref="F196" si="556">F195</f>
        <v>742</v>
      </c>
      <c r="G196">
        <f t="shared" ref="G196" si="557">G195</f>
        <v>74</v>
      </c>
      <c r="H196">
        <f t="shared" ref="H196" si="558">H195</f>
        <v>0</v>
      </c>
      <c r="I196">
        <f t="shared" ref="I196" si="559">I195</f>
        <v>1</v>
      </c>
      <c r="J196">
        <f t="shared" ref="J196" si="560">J195</f>
        <v>6</v>
      </c>
      <c r="K196">
        <v>1</v>
      </c>
      <c r="L196">
        <v>1</v>
      </c>
      <c r="M196">
        <v>30</v>
      </c>
      <c r="N196">
        <v>30</v>
      </c>
      <c r="O196">
        <v>17</v>
      </c>
      <c r="P196">
        <v>16</v>
      </c>
      <c r="Q196">
        <v>42</v>
      </c>
      <c r="R196">
        <v>53</v>
      </c>
      <c r="S196">
        <v>18</v>
      </c>
      <c r="T196">
        <v>31</v>
      </c>
      <c r="U196">
        <f t="shared" ref="U196" si="561">U195</f>
        <v>10</v>
      </c>
      <c r="V196">
        <v>13</v>
      </c>
      <c r="W196">
        <f t="shared" ref="W196" si="562">W195</f>
        <v>1</v>
      </c>
      <c r="X196">
        <v>12</v>
      </c>
      <c r="Y196">
        <f t="shared" ref="Y196" si="563">Y195</f>
        <v>0</v>
      </c>
      <c r="Z196">
        <v>15</v>
      </c>
      <c r="AA196">
        <v>20</v>
      </c>
      <c r="AB196">
        <v>49</v>
      </c>
      <c r="AC196">
        <v>79</v>
      </c>
      <c r="AD196">
        <v>49</v>
      </c>
      <c r="AE196">
        <v>49</v>
      </c>
      <c r="AF196">
        <v>59</v>
      </c>
      <c r="AG196">
        <v>89</v>
      </c>
      <c r="AH196">
        <v>59</v>
      </c>
      <c r="AI196">
        <v>39</v>
      </c>
      <c r="AJ196">
        <v>3</v>
      </c>
      <c r="AK196">
        <v>13</v>
      </c>
      <c r="AL196">
        <v>0</v>
      </c>
      <c r="AM196">
        <v>-1</v>
      </c>
      <c r="AN196">
        <v>0</v>
      </c>
      <c r="AO196">
        <v>0</v>
      </c>
      <c r="AP196">
        <v>0</v>
      </c>
      <c r="AQ196">
        <v>0</v>
      </c>
      <c r="AR196">
        <f t="shared" si="357"/>
        <v>0</v>
      </c>
      <c r="AS196">
        <f>IF(AND(IFERROR(VLOOKUP(AJ196,Equip!$A:$N,13,FALSE),0)&gt;=5,IFERROR(VLOOKUP(AJ196,Equip!$A:$N,13,FALSE),0)&lt;=9),INT(VLOOKUP(AJ196,Equip!$A:$N,6,FALSE)*SQRT(AN196)),0)</f>
        <v>0</v>
      </c>
      <c r="AT196">
        <f>IF(AND(IFERROR(VLOOKUP(AK196,Equip!$A:$N,13,FALSE),0)&gt;=5,IFERROR(VLOOKUP(AK196,Equip!$A:$N,13,FALSE),0)&lt;=9),INT(VLOOKUP(AK196,Equip!$A:$N,6,FALSE)*SQRT(AO196)),0)</f>
        <v>0</v>
      </c>
      <c r="AU196">
        <f>IF(AND(IFERROR(VLOOKUP(AL196,Equip!$A:$N,13,FALSE),0)&gt;=5,IFERROR(VLOOKUP(AL196,Equip!$A:$N,13,FALSE),0)&lt;=9),INT(VLOOKUP(AL196,Equip!$A:$N,6,FALSE)*SQRT(AP196)),0)</f>
        <v>0</v>
      </c>
      <c r="AV196">
        <f>IF(AND(IFERROR(VLOOKUP(AM196,Equip!$A:$N,13,FALSE),0)&gt;=5,IFERROR(VLOOKUP(AM196,Equip!$A:$N,13,FALSE),0)&lt;=9),INT(VLOOKUP(AM196,Equip!$A:$N,6,FALSE)*SQRT(AQ196)),0)</f>
        <v>0</v>
      </c>
      <c r="AW196">
        <f t="shared" ref="AW196:AW259" si="564">SUM(AS196:AV196)</f>
        <v>0</v>
      </c>
      <c r="AX196">
        <f t="shared" ref="AX196:AX259" si="565">SUM(N196,AB196:AE196,AG196:AI196)</f>
        <v>443</v>
      </c>
    </row>
    <row r="197" spans="1:50">
      <c r="A197">
        <v>75</v>
      </c>
      <c r="B197" t="s">
        <v>809</v>
      </c>
      <c r="C197" t="s">
        <v>809</v>
      </c>
      <c r="D197">
        <v>0</v>
      </c>
      <c r="E197">
        <v>1320</v>
      </c>
      <c r="F197">
        <v>760</v>
      </c>
      <c r="G197">
        <v>75</v>
      </c>
      <c r="H197">
        <v>0</v>
      </c>
      <c r="I197">
        <v>1</v>
      </c>
      <c r="J197">
        <v>0</v>
      </c>
      <c r="K197">
        <v>1</v>
      </c>
      <c r="L197">
        <v>1</v>
      </c>
      <c r="M197">
        <v>16</v>
      </c>
      <c r="N197">
        <v>16</v>
      </c>
      <c r="O197">
        <v>10</v>
      </c>
      <c r="P197">
        <v>6</v>
      </c>
      <c r="Q197">
        <v>27</v>
      </c>
      <c r="R197">
        <v>43</v>
      </c>
      <c r="S197">
        <v>12</v>
      </c>
      <c r="T197">
        <v>21</v>
      </c>
      <c r="U197">
        <v>10</v>
      </c>
      <c r="V197">
        <v>5</v>
      </c>
      <c r="W197">
        <v>1</v>
      </c>
      <c r="X197">
        <v>12</v>
      </c>
      <c r="Y197">
        <v>0</v>
      </c>
      <c r="Z197">
        <v>15</v>
      </c>
      <c r="AA197">
        <v>20</v>
      </c>
      <c r="AB197">
        <v>29</v>
      </c>
      <c r="AC197">
        <v>79</v>
      </c>
      <c r="AD197">
        <v>39</v>
      </c>
      <c r="AE197">
        <v>19</v>
      </c>
      <c r="AF197">
        <v>49</v>
      </c>
      <c r="AG197">
        <v>89</v>
      </c>
      <c r="AH197">
        <v>49</v>
      </c>
      <c r="AI197">
        <v>19</v>
      </c>
      <c r="AJ197">
        <v>2</v>
      </c>
      <c r="AK197">
        <v>13</v>
      </c>
      <c r="AL197">
        <v>-1</v>
      </c>
      <c r="AM197">
        <v>-1</v>
      </c>
      <c r="AN197">
        <v>0</v>
      </c>
      <c r="AO197">
        <v>0</v>
      </c>
      <c r="AP197">
        <v>0</v>
      </c>
      <c r="AQ197">
        <v>0</v>
      </c>
      <c r="AR197">
        <f t="shared" si="357"/>
        <v>0</v>
      </c>
      <c r="AS197">
        <f>IF(AND(IFERROR(VLOOKUP(AJ197,Equip!$A:$N,13,FALSE),0)&gt;=5,IFERROR(VLOOKUP(AJ197,Equip!$A:$N,13,FALSE),0)&lt;=9),INT(VLOOKUP(AJ197,Equip!$A:$N,6,FALSE)*SQRT(AN197)),0)</f>
        <v>0</v>
      </c>
      <c r="AT197">
        <f>IF(AND(IFERROR(VLOOKUP(AK197,Equip!$A:$N,13,FALSE),0)&gt;=5,IFERROR(VLOOKUP(AK197,Equip!$A:$N,13,FALSE),0)&lt;=9),INT(VLOOKUP(AK197,Equip!$A:$N,6,FALSE)*SQRT(AO197)),0)</f>
        <v>0</v>
      </c>
      <c r="AU197">
        <f>IF(AND(IFERROR(VLOOKUP(AL197,Equip!$A:$N,13,FALSE),0)&gt;=5,IFERROR(VLOOKUP(AL197,Equip!$A:$N,13,FALSE),0)&lt;=9),INT(VLOOKUP(AL197,Equip!$A:$N,6,FALSE)*SQRT(AP197)),0)</f>
        <v>0</v>
      </c>
      <c r="AV197">
        <f>IF(AND(IFERROR(VLOOKUP(AM197,Equip!$A:$N,13,FALSE),0)&gt;=5,IFERROR(VLOOKUP(AM197,Equip!$A:$N,13,FALSE),0)&lt;=9),INT(VLOOKUP(AM197,Equip!$A:$N,6,FALSE)*SQRT(AQ197)),0)</f>
        <v>0</v>
      </c>
      <c r="AW197">
        <f t="shared" si="564"/>
        <v>0</v>
      </c>
      <c r="AX197">
        <f t="shared" si="565"/>
        <v>339</v>
      </c>
    </row>
    <row r="198" spans="1:50">
      <c r="A198">
        <v>75</v>
      </c>
      <c r="B198" t="s">
        <v>809</v>
      </c>
      <c r="C198" t="s">
        <v>809</v>
      </c>
      <c r="D198">
        <v>1</v>
      </c>
      <c r="E198">
        <f t="shared" ref="E198:E199" si="566">E197</f>
        <v>1320</v>
      </c>
      <c r="F198">
        <f t="shared" ref="F198:F199" si="567">F197</f>
        <v>760</v>
      </c>
      <c r="G198">
        <f t="shared" ref="G198:G199" si="568">G197</f>
        <v>75</v>
      </c>
      <c r="H198">
        <f t="shared" ref="H198:H199" si="569">H197</f>
        <v>0</v>
      </c>
      <c r="I198">
        <f t="shared" ref="I198:I199" si="570">I197</f>
        <v>1</v>
      </c>
      <c r="J198">
        <f t="shared" ref="J198:J199" si="571">J197</f>
        <v>0</v>
      </c>
      <c r="K198">
        <v>1</v>
      </c>
      <c r="L198">
        <v>1</v>
      </c>
      <c r="M198">
        <v>30</v>
      </c>
      <c r="N198">
        <v>30</v>
      </c>
      <c r="O198">
        <v>12</v>
      </c>
      <c r="P198">
        <v>13</v>
      </c>
      <c r="Q198">
        <v>28</v>
      </c>
      <c r="R198">
        <v>45</v>
      </c>
      <c r="S198">
        <v>15</v>
      </c>
      <c r="T198">
        <v>24</v>
      </c>
      <c r="U198">
        <f t="shared" ref="U198:U199" si="572">U197</f>
        <v>10</v>
      </c>
      <c r="V198">
        <v>7</v>
      </c>
      <c r="W198">
        <f t="shared" ref="W198:W199" si="573">W197</f>
        <v>1</v>
      </c>
      <c r="X198">
        <v>12</v>
      </c>
      <c r="Y198">
        <f t="shared" ref="Y198:Y199" si="574">Y197</f>
        <v>0</v>
      </c>
      <c r="Z198">
        <v>15</v>
      </c>
      <c r="AA198">
        <v>20</v>
      </c>
      <c r="AB198">
        <v>49</v>
      </c>
      <c r="AC198">
        <v>79</v>
      </c>
      <c r="AD198">
        <v>49</v>
      </c>
      <c r="AE198">
        <v>49</v>
      </c>
      <c r="AF198">
        <v>59</v>
      </c>
      <c r="AG198">
        <v>89</v>
      </c>
      <c r="AH198">
        <v>59</v>
      </c>
      <c r="AI198">
        <v>39</v>
      </c>
      <c r="AJ198">
        <v>3</v>
      </c>
      <c r="AK198">
        <v>14</v>
      </c>
      <c r="AL198">
        <v>0</v>
      </c>
      <c r="AM198">
        <v>-1</v>
      </c>
      <c r="AN198">
        <v>0</v>
      </c>
      <c r="AO198">
        <v>0</v>
      </c>
      <c r="AP198">
        <v>0</v>
      </c>
      <c r="AQ198">
        <v>0</v>
      </c>
      <c r="AR198">
        <f t="shared" ref="AR198:AR259" si="575">SUM(AN198:AQ198)</f>
        <v>0</v>
      </c>
      <c r="AS198">
        <f>IF(AND(IFERROR(VLOOKUP(AJ198,Equip!$A:$N,13,FALSE),0)&gt;=5,IFERROR(VLOOKUP(AJ198,Equip!$A:$N,13,FALSE),0)&lt;=9),INT(VLOOKUP(AJ198,Equip!$A:$N,6,FALSE)*SQRT(AN198)),0)</f>
        <v>0</v>
      </c>
      <c r="AT198">
        <f>IF(AND(IFERROR(VLOOKUP(AK198,Equip!$A:$N,13,FALSE),0)&gt;=5,IFERROR(VLOOKUP(AK198,Equip!$A:$N,13,FALSE),0)&lt;=9),INT(VLOOKUP(AK198,Equip!$A:$N,6,FALSE)*SQRT(AO198)),0)</f>
        <v>0</v>
      </c>
      <c r="AU198">
        <f>IF(AND(IFERROR(VLOOKUP(AL198,Equip!$A:$N,13,FALSE),0)&gt;=5,IFERROR(VLOOKUP(AL198,Equip!$A:$N,13,FALSE),0)&lt;=9),INT(VLOOKUP(AL198,Equip!$A:$N,6,FALSE)*SQRT(AP198)),0)</f>
        <v>0</v>
      </c>
      <c r="AV198">
        <f>IF(AND(IFERROR(VLOOKUP(AM198,Equip!$A:$N,13,FALSE),0)&gt;=5,IFERROR(VLOOKUP(AM198,Equip!$A:$N,13,FALSE),0)&lt;=9),INT(VLOOKUP(AM198,Equip!$A:$N,6,FALSE)*SQRT(AQ198)),0)</f>
        <v>0</v>
      </c>
      <c r="AW198">
        <f t="shared" si="564"/>
        <v>0</v>
      </c>
      <c r="AX198">
        <f t="shared" si="565"/>
        <v>443</v>
      </c>
    </row>
    <row r="199" spans="1:50">
      <c r="A199">
        <v>75</v>
      </c>
      <c r="B199" t="s">
        <v>809</v>
      </c>
      <c r="C199" t="s">
        <v>809</v>
      </c>
      <c r="D199">
        <v>2</v>
      </c>
      <c r="E199">
        <f t="shared" si="566"/>
        <v>1320</v>
      </c>
      <c r="F199">
        <f t="shared" si="567"/>
        <v>760</v>
      </c>
      <c r="G199">
        <f t="shared" si="568"/>
        <v>75</v>
      </c>
      <c r="H199">
        <f t="shared" si="569"/>
        <v>0</v>
      </c>
      <c r="I199">
        <f t="shared" si="570"/>
        <v>1</v>
      </c>
      <c r="J199">
        <f t="shared" si="571"/>
        <v>0</v>
      </c>
      <c r="K199">
        <v>1</v>
      </c>
      <c r="L199">
        <v>1</v>
      </c>
      <c r="M199">
        <v>32</v>
      </c>
      <c r="N199">
        <v>32</v>
      </c>
      <c r="O199">
        <v>13</v>
      </c>
      <c r="P199">
        <v>13</v>
      </c>
      <c r="Q199">
        <v>32</v>
      </c>
      <c r="R199">
        <v>48</v>
      </c>
      <c r="S199">
        <v>23</v>
      </c>
      <c r="T199">
        <v>24</v>
      </c>
      <c r="U199">
        <f t="shared" si="572"/>
        <v>10</v>
      </c>
      <c r="V199">
        <v>10</v>
      </c>
      <c r="W199">
        <f t="shared" si="573"/>
        <v>1</v>
      </c>
      <c r="X199">
        <v>16</v>
      </c>
      <c r="Y199">
        <f t="shared" si="574"/>
        <v>0</v>
      </c>
      <c r="Z199">
        <v>15</v>
      </c>
      <c r="AA199">
        <v>20</v>
      </c>
      <c r="AB199">
        <v>54</v>
      </c>
      <c r="AC199">
        <v>90</v>
      </c>
      <c r="AD199">
        <v>73</v>
      </c>
      <c r="AE199">
        <v>51</v>
      </c>
      <c r="AF199">
        <v>59</v>
      </c>
      <c r="AG199">
        <v>90</v>
      </c>
      <c r="AH199">
        <v>69</v>
      </c>
      <c r="AI199">
        <v>45</v>
      </c>
      <c r="AJ199">
        <v>63</v>
      </c>
      <c r="AK199">
        <v>106</v>
      </c>
      <c r="AL199">
        <v>40</v>
      </c>
      <c r="AM199">
        <v>-1</v>
      </c>
      <c r="AN199">
        <v>0</v>
      </c>
      <c r="AO199">
        <v>0</v>
      </c>
      <c r="AP199">
        <v>0</v>
      </c>
      <c r="AQ199">
        <v>0</v>
      </c>
      <c r="AR199">
        <f t="shared" si="575"/>
        <v>0</v>
      </c>
      <c r="AS199">
        <f>IF(AND(IFERROR(VLOOKUP(AJ199,Equip!$A:$N,13,FALSE),0)&gt;=5,IFERROR(VLOOKUP(AJ199,Equip!$A:$N,13,FALSE),0)&lt;=9),INT(VLOOKUP(AJ199,Equip!$A:$N,6,FALSE)*SQRT(AN199)),0)</f>
        <v>0</v>
      </c>
      <c r="AT199">
        <f>IF(AND(IFERROR(VLOOKUP(AK199,Equip!$A:$N,13,FALSE),0)&gt;=5,IFERROR(VLOOKUP(AK199,Equip!$A:$N,13,FALSE),0)&lt;=9),INT(VLOOKUP(AK199,Equip!$A:$N,6,FALSE)*SQRT(AO199)),0)</f>
        <v>0</v>
      </c>
      <c r="AU199">
        <f>IF(AND(IFERROR(VLOOKUP(AL199,Equip!$A:$N,13,FALSE),0)&gt;=5,IFERROR(VLOOKUP(AL199,Equip!$A:$N,13,FALSE),0)&lt;=9),INT(VLOOKUP(AL199,Equip!$A:$N,6,FALSE)*SQRT(AP199)),0)</f>
        <v>0</v>
      </c>
      <c r="AV199">
        <f>IF(AND(IFERROR(VLOOKUP(AM199,Equip!$A:$N,13,FALSE),0)&gt;=5,IFERROR(VLOOKUP(AM199,Equip!$A:$N,13,FALSE),0)&lt;=9),INT(VLOOKUP(AM199,Equip!$A:$N,6,FALSE)*SQRT(AQ199)),0)</f>
        <v>0</v>
      </c>
      <c r="AW199">
        <f t="shared" si="564"/>
        <v>0</v>
      </c>
      <c r="AX199">
        <f t="shared" si="565"/>
        <v>504</v>
      </c>
    </row>
    <row r="200" spans="1:50">
      <c r="A200">
        <v>76</v>
      </c>
      <c r="B200" t="s">
        <v>810</v>
      </c>
      <c r="C200" t="s">
        <v>810</v>
      </c>
      <c r="D200">
        <v>0</v>
      </c>
      <c r="E200">
        <v>1320</v>
      </c>
      <c r="F200">
        <v>760</v>
      </c>
      <c r="G200">
        <v>76</v>
      </c>
      <c r="H200">
        <v>0</v>
      </c>
      <c r="I200">
        <v>1</v>
      </c>
      <c r="J200">
        <v>3</v>
      </c>
      <c r="K200">
        <v>1</v>
      </c>
      <c r="L200">
        <v>1</v>
      </c>
      <c r="M200">
        <v>16</v>
      </c>
      <c r="N200">
        <v>16</v>
      </c>
      <c r="O200">
        <v>10</v>
      </c>
      <c r="P200">
        <v>6</v>
      </c>
      <c r="Q200">
        <v>27</v>
      </c>
      <c r="R200">
        <v>43</v>
      </c>
      <c r="S200">
        <v>9</v>
      </c>
      <c r="T200">
        <v>21</v>
      </c>
      <c r="U200">
        <v>10</v>
      </c>
      <c r="V200">
        <v>5</v>
      </c>
      <c r="W200">
        <v>1</v>
      </c>
      <c r="X200">
        <v>10</v>
      </c>
      <c r="Y200">
        <v>0</v>
      </c>
      <c r="Z200">
        <v>15</v>
      </c>
      <c r="AA200">
        <v>20</v>
      </c>
      <c r="AB200">
        <v>29</v>
      </c>
      <c r="AC200">
        <v>69</v>
      </c>
      <c r="AD200">
        <v>39</v>
      </c>
      <c r="AE200">
        <v>19</v>
      </c>
      <c r="AF200">
        <v>49</v>
      </c>
      <c r="AG200">
        <v>79</v>
      </c>
      <c r="AH200">
        <v>49</v>
      </c>
      <c r="AI200">
        <v>19</v>
      </c>
      <c r="AJ200">
        <v>2</v>
      </c>
      <c r="AK200">
        <v>0</v>
      </c>
      <c r="AL200">
        <v>-1</v>
      </c>
      <c r="AM200">
        <v>-1</v>
      </c>
      <c r="AN200">
        <v>0</v>
      </c>
      <c r="AO200">
        <v>0</v>
      </c>
      <c r="AP200">
        <v>0</v>
      </c>
      <c r="AQ200">
        <v>0</v>
      </c>
      <c r="AR200">
        <f t="shared" si="575"/>
        <v>0</v>
      </c>
      <c r="AS200">
        <f>IF(AND(IFERROR(VLOOKUP(AJ200,Equip!$A:$N,13,FALSE),0)&gt;=5,IFERROR(VLOOKUP(AJ200,Equip!$A:$N,13,FALSE),0)&lt;=9),INT(VLOOKUP(AJ200,Equip!$A:$N,6,FALSE)*SQRT(AN200)),0)</f>
        <v>0</v>
      </c>
      <c r="AT200">
        <f>IF(AND(IFERROR(VLOOKUP(AK200,Equip!$A:$N,13,FALSE),0)&gt;=5,IFERROR(VLOOKUP(AK200,Equip!$A:$N,13,FALSE),0)&lt;=9),INT(VLOOKUP(AK200,Equip!$A:$N,6,FALSE)*SQRT(AO200)),0)</f>
        <v>0</v>
      </c>
      <c r="AU200">
        <f>IF(AND(IFERROR(VLOOKUP(AL200,Equip!$A:$N,13,FALSE),0)&gt;=5,IFERROR(VLOOKUP(AL200,Equip!$A:$N,13,FALSE),0)&lt;=9),INT(VLOOKUP(AL200,Equip!$A:$N,6,FALSE)*SQRT(AP200)),0)</f>
        <v>0</v>
      </c>
      <c r="AV200">
        <f>IF(AND(IFERROR(VLOOKUP(AM200,Equip!$A:$N,13,FALSE),0)&gt;=5,IFERROR(VLOOKUP(AM200,Equip!$A:$N,13,FALSE),0)&lt;=9),INT(VLOOKUP(AM200,Equip!$A:$N,6,FALSE)*SQRT(AQ200)),0)</f>
        <v>0</v>
      </c>
      <c r="AW200">
        <f t="shared" si="564"/>
        <v>0</v>
      </c>
      <c r="AX200">
        <f t="shared" si="565"/>
        <v>319</v>
      </c>
    </row>
    <row r="201" spans="1:50">
      <c r="A201">
        <v>76</v>
      </c>
      <c r="B201" t="s">
        <v>810</v>
      </c>
      <c r="C201" t="s">
        <v>810</v>
      </c>
      <c r="D201">
        <v>1</v>
      </c>
      <c r="E201">
        <f>E200</f>
        <v>1320</v>
      </c>
      <c r="F201">
        <f t="shared" ref="F201" si="576">F200</f>
        <v>760</v>
      </c>
      <c r="G201">
        <f t="shared" ref="G201" si="577">G200</f>
        <v>76</v>
      </c>
      <c r="H201">
        <f t="shared" ref="H201" si="578">H200</f>
        <v>0</v>
      </c>
      <c r="I201">
        <f t="shared" ref="I201" si="579">I200</f>
        <v>1</v>
      </c>
      <c r="J201">
        <f t="shared" ref="J201" si="580">J200</f>
        <v>3</v>
      </c>
      <c r="K201">
        <v>1</v>
      </c>
      <c r="L201">
        <v>1</v>
      </c>
      <c r="M201">
        <v>30</v>
      </c>
      <c r="N201">
        <v>30</v>
      </c>
      <c r="O201">
        <v>15</v>
      </c>
      <c r="P201">
        <v>16</v>
      </c>
      <c r="Q201">
        <v>33</v>
      </c>
      <c r="R201">
        <v>53</v>
      </c>
      <c r="S201">
        <v>18</v>
      </c>
      <c r="T201">
        <v>31</v>
      </c>
      <c r="U201">
        <f t="shared" ref="U201" si="581">U200</f>
        <v>10</v>
      </c>
      <c r="V201">
        <v>13</v>
      </c>
      <c r="W201">
        <f t="shared" ref="W201" si="582">W200</f>
        <v>1</v>
      </c>
      <c r="X201">
        <v>12</v>
      </c>
      <c r="Y201">
        <f t="shared" ref="Y201" si="583">Y200</f>
        <v>0</v>
      </c>
      <c r="Z201">
        <v>15</v>
      </c>
      <c r="AA201">
        <v>20</v>
      </c>
      <c r="AB201">
        <v>49</v>
      </c>
      <c r="AC201">
        <v>79</v>
      </c>
      <c r="AD201">
        <v>49</v>
      </c>
      <c r="AE201">
        <v>49</v>
      </c>
      <c r="AF201">
        <v>59</v>
      </c>
      <c r="AG201">
        <v>89</v>
      </c>
      <c r="AH201">
        <v>59</v>
      </c>
      <c r="AI201">
        <v>39</v>
      </c>
      <c r="AJ201">
        <v>3</v>
      </c>
      <c r="AK201">
        <v>14</v>
      </c>
      <c r="AL201">
        <v>0</v>
      </c>
      <c r="AM201">
        <v>-1</v>
      </c>
      <c r="AN201">
        <v>0</v>
      </c>
      <c r="AO201">
        <v>0</v>
      </c>
      <c r="AP201">
        <v>0</v>
      </c>
      <c r="AQ201">
        <v>0</v>
      </c>
      <c r="AR201">
        <f t="shared" si="575"/>
        <v>0</v>
      </c>
      <c r="AS201">
        <f>IF(AND(IFERROR(VLOOKUP(AJ201,Equip!$A:$N,13,FALSE),0)&gt;=5,IFERROR(VLOOKUP(AJ201,Equip!$A:$N,13,FALSE),0)&lt;=9),INT(VLOOKUP(AJ201,Equip!$A:$N,6,FALSE)*SQRT(AN201)),0)</f>
        <v>0</v>
      </c>
      <c r="AT201">
        <f>IF(AND(IFERROR(VLOOKUP(AK201,Equip!$A:$N,13,FALSE),0)&gt;=5,IFERROR(VLOOKUP(AK201,Equip!$A:$N,13,FALSE),0)&lt;=9),INT(VLOOKUP(AK201,Equip!$A:$N,6,FALSE)*SQRT(AO201)),0)</f>
        <v>0</v>
      </c>
      <c r="AU201">
        <f>IF(AND(IFERROR(VLOOKUP(AL201,Equip!$A:$N,13,FALSE),0)&gt;=5,IFERROR(VLOOKUP(AL201,Equip!$A:$N,13,FALSE),0)&lt;=9),INT(VLOOKUP(AL201,Equip!$A:$N,6,FALSE)*SQRT(AP201)),0)</f>
        <v>0</v>
      </c>
      <c r="AV201">
        <f>IF(AND(IFERROR(VLOOKUP(AM201,Equip!$A:$N,13,FALSE),0)&gt;=5,IFERROR(VLOOKUP(AM201,Equip!$A:$N,13,FALSE),0)&lt;=9),INT(VLOOKUP(AM201,Equip!$A:$N,6,FALSE)*SQRT(AQ201)),0)</f>
        <v>0</v>
      </c>
      <c r="AW201">
        <f t="shared" si="564"/>
        <v>0</v>
      </c>
      <c r="AX201">
        <f t="shared" si="565"/>
        <v>443</v>
      </c>
    </row>
    <row r="202" spans="1:50">
      <c r="A202">
        <v>77</v>
      </c>
      <c r="B202" t="s">
        <v>811</v>
      </c>
      <c r="C202" t="s">
        <v>811</v>
      </c>
      <c r="D202">
        <v>0</v>
      </c>
      <c r="E202">
        <v>1320</v>
      </c>
      <c r="F202">
        <v>760</v>
      </c>
      <c r="G202">
        <v>77</v>
      </c>
      <c r="H202">
        <v>0</v>
      </c>
      <c r="I202">
        <v>1</v>
      </c>
      <c r="J202">
        <v>1</v>
      </c>
      <c r="K202">
        <v>1</v>
      </c>
      <c r="L202">
        <v>1</v>
      </c>
      <c r="M202">
        <v>16</v>
      </c>
      <c r="N202">
        <v>16</v>
      </c>
      <c r="O202">
        <v>10</v>
      </c>
      <c r="P202">
        <v>6</v>
      </c>
      <c r="Q202">
        <v>27</v>
      </c>
      <c r="R202">
        <v>43</v>
      </c>
      <c r="S202">
        <v>9</v>
      </c>
      <c r="T202">
        <v>21</v>
      </c>
      <c r="U202">
        <v>10</v>
      </c>
      <c r="V202">
        <v>5</v>
      </c>
      <c r="W202">
        <v>1</v>
      </c>
      <c r="X202">
        <v>10</v>
      </c>
      <c r="Y202">
        <v>0</v>
      </c>
      <c r="Z202">
        <v>15</v>
      </c>
      <c r="AA202">
        <v>20</v>
      </c>
      <c r="AB202">
        <v>29</v>
      </c>
      <c r="AC202">
        <v>69</v>
      </c>
      <c r="AD202">
        <v>39</v>
      </c>
      <c r="AE202">
        <v>19</v>
      </c>
      <c r="AF202">
        <v>49</v>
      </c>
      <c r="AG202">
        <v>79</v>
      </c>
      <c r="AH202">
        <v>49</v>
      </c>
      <c r="AI202">
        <v>19</v>
      </c>
      <c r="AJ202">
        <v>2</v>
      </c>
      <c r="AK202">
        <v>0</v>
      </c>
      <c r="AL202">
        <v>-1</v>
      </c>
      <c r="AM202">
        <v>-1</v>
      </c>
      <c r="AN202">
        <v>0</v>
      </c>
      <c r="AO202">
        <v>0</v>
      </c>
      <c r="AP202">
        <v>0</v>
      </c>
      <c r="AQ202">
        <v>0</v>
      </c>
      <c r="AR202">
        <f t="shared" si="575"/>
        <v>0</v>
      </c>
      <c r="AS202">
        <f>IF(AND(IFERROR(VLOOKUP(AJ202,Equip!$A:$N,13,FALSE),0)&gt;=5,IFERROR(VLOOKUP(AJ202,Equip!$A:$N,13,FALSE),0)&lt;=9),INT(VLOOKUP(AJ202,Equip!$A:$N,6,FALSE)*SQRT(AN202)),0)</f>
        <v>0</v>
      </c>
      <c r="AT202">
        <f>IF(AND(IFERROR(VLOOKUP(AK202,Equip!$A:$N,13,FALSE),0)&gt;=5,IFERROR(VLOOKUP(AK202,Equip!$A:$N,13,FALSE),0)&lt;=9),INT(VLOOKUP(AK202,Equip!$A:$N,6,FALSE)*SQRT(AO202)),0)</f>
        <v>0</v>
      </c>
      <c r="AU202">
        <f>IF(AND(IFERROR(VLOOKUP(AL202,Equip!$A:$N,13,FALSE),0)&gt;=5,IFERROR(VLOOKUP(AL202,Equip!$A:$N,13,FALSE),0)&lt;=9),INT(VLOOKUP(AL202,Equip!$A:$N,6,FALSE)*SQRT(AP202)),0)</f>
        <v>0</v>
      </c>
      <c r="AV202">
        <f>IF(AND(IFERROR(VLOOKUP(AM202,Equip!$A:$N,13,FALSE),0)&gt;=5,IFERROR(VLOOKUP(AM202,Equip!$A:$N,13,FALSE),0)&lt;=9),INT(VLOOKUP(AM202,Equip!$A:$N,6,FALSE)*SQRT(AQ202)),0)</f>
        <v>0</v>
      </c>
      <c r="AW202">
        <f t="shared" si="564"/>
        <v>0</v>
      </c>
      <c r="AX202">
        <f t="shared" si="565"/>
        <v>319</v>
      </c>
    </row>
    <row r="203" spans="1:50">
      <c r="A203">
        <v>77</v>
      </c>
      <c r="B203" t="s">
        <v>811</v>
      </c>
      <c r="C203" t="s">
        <v>811</v>
      </c>
      <c r="D203">
        <v>1</v>
      </c>
      <c r="E203">
        <f>E202</f>
        <v>1320</v>
      </c>
      <c r="F203">
        <f t="shared" ref="F203" si="584">F202</f>
        <v>760</v>
      </c>
      <c r="G203">
        <f t="shared" ref="G203" si="585">G202</f>
        <v>77</v>
      </c>
      <c r="H203">
        <f t="shared" ref="H203" si="586">H202</f>
        <v>0</v>
      </c>
      <c r="I203">
        <f t="shared" ref="I203" si="587">I202</f>
        <v>1</v>
      </c>
      <c r="J203">
        <f t="shared" ref="J203" si="588">J202</f>
        <v>1</v>
      </c>
      <c r="K203">
        <v>1</v>
      </c>
      <c r="L203">
        <v>1</v>
      </c>
      <c r="M203">
        <v>30</v>
      </c>
      <c r="N203">
        <v>30</v>
      </c>
      <c r="O203">
        <v>15</v>
      </c>
      <c r="P203">
        <v>16</v>
      </c>
      <c r="Q203">
        <v>33</v>
      </c>
      <c r="R203">
        <v>53</v>
      </c>
      <c r="S203">
        <v>21</v>
      </c>
      <c r="T203">
        <v>31</v>
      </c>
      <c r="U203">
        <f t="shared" ref="U203" si="589">U202</f>
        <v>10</v>
      </c>
      <c r="V203">
        <v>13</v>
      </c>
      <c r="W203">
        <f t="shared" ref="W203" si="590">W202</f>
        <v>1</v>
      </c>
      <c r="X203">
        <v>12</v>
      </c>
      <c r="Y203">
        <f t="shared" ref="Y203" si="591">Y202</f>
        <v>0</v>
      </c>
      <c r="Z203">
        <v>15</v>
      </c>
      <c r="AA203">
        <v>20</v>
      </c>
      <c r="AB203">
        <v>49</v>
      </c>
      <c r="AC203">
        <v>79</v>
      </c>
      <c r="AD203">
        <v>49</v>
      </c>
      <c r="AE203">
        <v>49</v>
      </c>
      <c r="AF203">
        <v>59</v>
      </c>
      <c r="AG203">
        <v>89</v>
      </c>
      <c r="AH203">
        <v>59</v>
      </c>
      <c r="AI203">
        <v>39</v>
      </c>
      <c r="AJ203">
        <v>3</v>
      </c>
      <c r="AK203">
        <v>14</v>
      </c>
      <c r="AL203">
        <v>0</v>
      </c>
      <c r="AM203">
        <v>-1</v>
      </c>
      <c r="AN203">
        <v>0</v>
      </c>
      <c r="AO203">
        <v>0</v>
      </c>
      <c r="AP203">
        <v>0</v>
      </c>
      <c r="AQ203">
        <v>0</v>
      </c>
      <c r="AR203">
        <f t="shared" si="575"/>
        <v>0</v>
      </c>
      <c r="AS203">
        <f>IF(AND(IFERROR(VLOOKUP(AJ203,Equip!$A:$N,13,FALSE),0)&gt;=5,IFERROR(VLOOKUP(AJ203,Equip!$A:$N,13,FALSE),0)&lt;=9),INT(VLOOKUP(AJ203,Equip!$A:$N,6,FALSE)*SQRT(AN203)),0)</f>
        <v>0</v>
      </c>
      <c r="AT203">
        <f>IF(AND(IFERROR(VLOOKUP(AK203,Equip!$A:$N,13,FALSE),0)&gt;=5,IFERROR(VLOOKUP(AK203,Equip!$A:$N,13,FALSE),0)&lt;=9),INT(VLOOKUP(AK203,Equip!$A:$N,6,FALSE)*SQRT(AO203)),0)</f>
        <v>0</v>
      </c>
      <c r="AU203">
        <f>IF(AND(IFERROR(VLOOKUP(AL203,Equip!$A:$N,13,FALSE),0)&gt;=5,IFERROR(VLOOKUP(AL203,Equip!$A:$N,13,FALSE),0)&lt;=9),INT(VLOOKUP(AL203,Equip!$A:$N,6,FALSE)*SQRT(AP203)),0)</f>
        <v>0</v>
      </c>
      <c r="AV203">
        <f>IF(AND(IFERROR(VLOOKUP(AM203,Equip!$A:$N,13,FALSE),0)&gt;=5,IFERROR(VLOOKUP(AM203,Equip!$A:$N,13,FALSE),0)&lt;=9),INT(VLOOKUP(AM203,Equip!$A:$N,6,FALSE)*SQRT(AQ203)),0)</f>
        <v>0</v>
      </c>
      <c r="AW203">
        <f t="shared" si="564"/>
        <v>0</v>
      </c>
      <c r="AX203">
        <f t="shared" si="565"/>
        <v>443</v>
      </c>
    </row>
    <row r="204" spans="1:50">
      <c r="A204">
        <v>78</v>
      </c>
      <c r="B204" t="s">
        <v>812</v>
      </c>
      <c r="C204" t="s">
        <v>812</v>
      </c>
      <c r="D204">
        <v>0</v>
      </c>
      <c r="E204">
        <v>1320</v>
      </c>
      <c r="F204">
        <v>760</v>
      </c>
      <c r="G204">
        <v>78</v>
      </c>
      <c r="H204">
        <v>0</v>
      </c>
      <c r="I204">
        <v>1</v>
      </c>
      <c r="J204">
        <v>0</v>
      </c>
      <c r="K204">
        <v>1</v>
      </c>
      <c r="L204">
        <v>1</v>
      </c>
      <c r="M204">
        <v>16</v>
      </c>
      <c r="N204">
        <v>16</v>
      </c>
      <c r="O204">
        <v>10</v>
      </c>
      <c r="P204">
        <v>6</v>
      </c>
      <c r="Q204">
        <v>27</v>
      </c>
      <c r="R204">
        <v>43</v>
      </c>
      <c r="S204">
        <v>9</v>
      </c>
      <c r="T204">
        <v>21</v>
      </c>
      <c r="U204">
        <v>10</v>
      </c>
      <c r="V204">
        <v>5</v>
      </c>
      <c r="W204">
        <v>1</v>
      </c>
      <c r="X204">
        <v>10</v>
      </c>
      <c r="Y204">
        <v>0</v>
      </c>
      <c r="Z204">
        <v>15</v>
      </c>
      <c r="AA204">
        <v>20</v>
      </c>
      <c r="AB204">
        <v>29</v>
      </c>
      <c r="AC204">
        <v>69</v>
      </c>
      <c r="AD204">
        <v>39</v>
      </c>
      <c r="AE204">
        <v>19</v>
      </c>
      <c r="AF204">
        <v>49</v>
      </c>
      <c r="AG204">
        <v>79</v>
      </c>
      <c r="AH204">
        <v>49</v>
      </c>
      <c r="AI204">
        <v>19</v>
      </c>
      <c r="AJ204">
        <v>2</v>
      </c>
      <c r="AK204">
        <v>0</v>
      </c>
      <c r="AL204">
        <v>-1</v>
      </c>
      <c r="AM204">
        <v>-1</v>
      </c>
      <c r="AN204">
        <v>0</v>
      </c>
      <c r="AO204">
        <v>0</v>
      </c>
      <c r="AP204">
        <v>0</v>
      </c>
      <c r="AQ204">
        <v>0</v>
      </c>
      <c r="AR204">
        <f t="shared" si="575"/>
        <v>0</v>
      </c>
      <c r="AS204">
        <f>IF(AND(IFERROR(VLOOKUP(AJ204,Equip!$A:$N,13,FALSE),0)&gt;=5,IFERROR(VLOOKUP(AJ204,Equip!$A:$N,13,FALSE),0)&lt;=9),INT(VLOOKUP(AJ204,Equip!$A:$N,6,FALSE)*SQRT(AN204)),0)</f>
        <v>0</v>
      </c>
      <c r="AT204">
        <f>IF(AND(IFERROR(VLOOKUP(AK204,Equip!$A:$N,13,FALSE),0)&gt;=5,IFERROR(VLOOKUP(AK204,Equip!$A:$N,13,FALSE),0)&lt;=9),INT(VLOOKUP(AK204,Equip!$A:$N,6,FALSE)*SQRT(AO204)),0)</f>
        <v>0</v>
      </c>
      <c r="AU204">
        <f>IF(AND(IFERROR(VLOOKUP(AL204,Equip!$A:$N,13,FALSE),0)&gt;=5,IFERROR(VLOOKUP(AL204,Equip!$A:$N,13,FALSE),0)&lt;=9),INT(VLOOKUP(AL204,Equip!$A:$N,6,FALSE)*SQRT(AP204)),0)</f>
        <v>0</v>
      </c>
      <c r="AV204">
        <f>IF(AND(IFERROR(VLOOKUP(AM204,Equip!$A:$N,13,FALSE),0)&gt;=5,IFERROR(VLOOKUP(AM204,Equip!$A:$N,13,FALSE),0)&lt;=9),INT(VLOOKUP(AM204,Equip!$A:$N,6,FALSE)*SQRT(AQ204)),0)</f>
        <v>0</v>
      </c>
      <c r="AW204">
        <f t="shared" si="564"/>
        <v>0</v>
      </c>
      <c r="AX204">
        <f t="shared" si="565"/>
        <v>319</v>
      </c>
    </row>
    <row r="205" spans="1:50">
      <c r="A205">
        <v>78</v>
      </c>
      <c r="B205" t="s">
        <v>812</v>
      </c>
      <c r="C205" t="s">
        <v>812</v>
      </c>
      <c r="D205">
        <v>1</v>
      </c>
      <c r="E205">
        <f t="shared" ref="E205:E206" si="592">E204</f>
        <v>1320</v>
      </c>
      <c r="F205">
        <f t="shared" ref="F205:F206" si="593">F204</f>
        <v>760</v>
      </c>
      <c r="G205">
        <f t="shared" ref="G205:G206" si="594">G204</f>
        <v>78</v>
      </c>
      <c r="H205">
        <f t="shared" ref="H205:H206" si="595">H204</f>
        <v>0</v>
      </c>
      <c r="I205">
        <f t="shared" ref="I205:I206" si="596">I204</f>
        <v>1</v>
      </c>
      <c r="J205">
        <f t="shared" ref="J205:J206" si="597">J204</f>
        <v>0</v>
      </c>
      <c r="K205">
        <v>1</v>
      </c>
      <c r="L205">
        <v>1</v>
      </c>
      <c r="M205">
        <v>30</v>
      </c>
      <c r="N205">
        <v>30</v>
      </c>
      <c r="O205">
        <v>15</v>
      </c>
      <c r="P205">
        <v>16</v>
      </c>
      <c r="Q205">
        <v>33</v>
      </c>
      <c r="R205">
        <v>53</v>
      </c>
      <c r="S205">
        <v>21</v>
      </c>
      <c r="T205">
        <v>31</v>
      </c>
      <c r="U205">
        <f t="shared" ref="U205:U206" si="598">U204</f>
        <v>10</v>
      </c>
      <c r="V205">
        <v>13</v>
      </c>
      <c r="W205">
        <f t="shared" ref="W205:W206" si="599">W204</f>
        <v>1</v>
      </c>
      <c r="X205">
        <v>12</v>
      </c>
      <c r="Y205">
        <f t="shared" ref="Y205:Y206" si="600">Y204</f>
        <v>0</v>
      </c>
      <c r="Z205">
        <v>15</v>
      </c>
      <c r="AA205">
        <v>20</v>
      </c>
      <c r="AB205">
        <v>49</v>
      </c>
      <c r="AC205">
        <v>79</v>
      </c>
      <c r="AD205">
        <v>49</v>
      </c>
      <c r="AE205">
        <v>49</v>
      </c>
      <c r="AF205">
        <v>59</v>
      </c>
      <c r="AG205">
        <v>89</v>
      </c>
      <c r="AH205">
        <v>59</v>
      </c>
      <c r="AI205">
        <v>39</v>
      </c>
      <c r="AJ205">
        <v>3</v>
      </c>
      <c r="AK205">
        <v>14</v>
      </c>
      <c r="AL205">
        <v>0</v>
      </c>
      <c r="AM205">
        <v>-1</v>
      </c>
      <c r="AN205">
        <v>0</v>
      </c>
      <c r="AO205">
        <v>0</v>
      </c>
      <c r="AP205">
        <v>0</v>
      </c>
      <c r="AQ205">
        <v>0</v>
      </c>
      <c r="AR205">
        <f t="shared" si="575"/>
        <v>0</v>
      </c>
      <c r="AS205">
        <f>IF(AND(IFERROR(VLOOKUP(AJ205,Equip!$A:$N,13,FALSE),0)&gt;=5,IFERROR(VLOOKUP(AJ205,Equip!$A:$N,13,FALSE),0)&lt;=9),INT(VLOOKUP(AJ205,Equip!$A:$N,6,FALSE)*SQRT(AN205)),0)</f>
        <v>0</v>
      </c>
      <c r="AT205">
        <f>IF(AND(IFERROR(VLOOKUP(AK205,Equip!$A:$N,13,FALSE),0)&gt;=5,IFERROR(VLOOKUP(AK205,Equip!$A:$N,13,FALSE),0)&lt;=9),INT(VLOOKUP(AK205,Equip!$A:$N,6,FALSE)*SQRT(AO205)),0)</f>
        <v>0</v>
      </c>
      <c r="AU205">
        <f>IF(AND(IFERROR(VLOOKUP(AL205,Equip!$A:$N,13,FALSE),0)&gt;=5,IFERROR(VLOOKUP(AL205,Equip!$A:$N,13,FALSE),0)&lt;=9),INT(VLOOKUP(AL205,Equip!$A:$N,6,FALSE)*SQRT(AP205)),0)</f>
        <v>0</v>
      </c>
      <c r="AV205">
        <f>IF(AND(IFERROR(VLOOKUP(AM205,Equip!$A:$N,13,FALSE),0)&gt;=5,IFERROR(VLOOKUP(AM205,Equip!$A:$N,13,FALSE),0)&lt;=9),INT(VLOOKUP(AM205,Equip!$A:$N,6,FALSE)*SQRT(AQ205)),0)</f>
        <v>0</v>
      </c>
      <c r="AW205">
        <f t="shared" si="564"/>
        <v>0</v>
      </c>
      <c r="AX205">
        <f t="shared" si="565"/>
        <v>443</v>
      </c>
    </row>
    <row r="206" spans="1:50">
      <c r="A206">
        <v>78</v>
      </c>
      <c r="B206" t="s">
        <v>812</v>
      </c>
      <c r="C206" t="s">
        <v>812</v>
      </c>
      <c r="D206">
        <v>2</v>
      </c>
      <c r="E206">
        <f t="shared" si="592"/>
        <v>1320</v>
      </c>
      <c r="F206">
        <f t="shared" si="593"/>
        <v>760</v>
      </c>
      <c r="G206">
        <f t="shared" si="594"/>
        <v>78</v>
      </c>
      <c r="H206">
        <f t="shared" si="595"/>
        <v>0</v>
      </c>
      <c r="I206">
        <f t="shared" si="596"/>
        <v>1</v>
      </c>
      <c r="J206">
        <f t="shared" si="597"/>
        <v>0</v>
      </c>
      <c r="K206">
        <v>1</v>
      </c>
      <c r="L206">
        <v>1</v>
      </c>
      <c r="M206">
        <v>32</v>
      </c>
      <c r="N206">
        <v>32</v>
      </c>
      <c r="O206">
        <v>34</v>
      </c>
      <c r="P206">
        <v>35</v>
      </c>
      <c r="Q206">
        <v>60</v>
      </c>
      <c r="R206">
        <v>85</v>
      </c>
      <c r="S206">
        <v>47</v>
      </c>
      <c r="T206">
        <v>56</v>
      </c>
      <c r="U206">
        <f t="shared" si="598"/>
        <v>10</v>
      </c>
      <c r="V206">
        <v>37</v>
      </c>
      <c r="W206">
        <f t="shared" si="599"/>
        <v>1</v>
      </c>
      <c r="X206">
        <v>53</v>
      </c>
      <c r="Y206">
        <f t="shared" si="600"/>
        <v>0</v>
      </c>
      <c r="Z206">
        <v>15</v>
      </c>
      <c r="AA206">
        <v>20</v>
      </c>
      <c r="AB206">
        <v>55</v>
      </c>
      <c r="AC206">
        <v>84</v>
      </c>
      <c r="AD206">
        <v>81</v>
      </c>
      <c r="AE206">
        <v>51</v>
      </c>
      <c r="AF206">
        <v>100</v>
      </c>
      <c r="AG206">
        <v>94</v>
      </c>
      <c r="AH206">
        <v>69</v>
      </c>
      <c r="AI206">
        <v>48</v>
      </c>
      <c r="AJ206">
        <v>91</v>
      </c>
      <c r="AK206">
        <v>106</v>
      </c>
      <c r="AL206">
        <v>120</v>
      </c>
      <c r="AM206">
        <v>-1</v>
      </c>
      <c r="AN206">
        <v>0</v>
      </c>
      <c r="AO206">
        <v>0</v>
      </c>
      <c r="AP206">
        <v>0</v>
      </c>
      <c r="AQ206">
        <v>0</v>
      </c>
      <c r="AR206">
        <f t="shared" si="575"/>
        <v>0</v>
      </c>
      <c r="AS206">
        <f>IF(AND(IFERROR(VLOOKUP(AJ206,Equip!$A:$N,13,FALSE),0)&gt;=5,IFERROR(VLOOKUP(AJ206,Equip!$A:$N,13,FALSE),0)&lt;=9),INT(VLOOKUP(AJ206,Equip!$A:$N,6,FALSE)*SQRT(AN206)),0)</f>
        <v>0</v>
      </c>
      <c r="AT206">
        <f>IF(AND(IFERROR(VLOOKUP(AK206,Equip!$A:$N,13,FALSE),0)&gt;=5,IFERROR(VLOOKUP(AK206,Equip!$A:$N,13,FALSE),0)&lt;=9),INT(VLOOKUP(AK206,Equip!$A:$N,6,FALSE)*SQRT(AO206)),0)</f>
        <v>0</v>
      </c>
      <c r="AU206">
        <f>IF(AND(IFERROR(VLOOKUP(AL206,Equip!$A:$N,13,FALSE),0)&gt;=5,IFERROR(VLOOKUP(AL206,Equip!$A:$N,13,FALSE),0)&lt;=9),INT(VLOOKUP(AL206,Equip!$A:$N,6,FALSE)*SQRT(AP206)),0)</f>
        <v>0</v>
      </c>
      <c r="AV206">
        <f>IF(AND(IFERROR(VLOOKUP(AM206,Equip!$A:$N,13,FALSE),0)&gt;=5,IFERROR(VLOOKUP(AM206,Equip!$A:$N,13,FALSE),0)&lt;=9),INT(VLOOKUP(AM206,Equip!$A:$N,6,FALSE)*SQRT(AQ206)),0)</f>
        <v>0</v>
      </c>
      <c r="AW206">
        <f t="shared" si="564"/>
        <v>0</v>
      </c>
      <c r="AX206">
        <f t="shared" si="565"/>
        <v>514</v>
      </c>
    </row>
    <row r="207" spans="1:50">
      <c r="A207">
        <v>79</v>
      </c>
      <c r="B207" t="s">
        <v>813</v>
      </c>
      <c r="C207" t="s">
        <v>813</v>
      </c>
      <c r="D207">
        <v>0</v>
      </c>
      <c r="E207">
        <v>1320</v>
      </c>
      <c r="F207">
        <v>760</v>
      </c>
      <c r="G207">
        <v>79</v>
      </c>
      <c r="H207">
        <v>1</v>
      </c>
      <c r="I207">
        <v>1</v>
      </c>
      <c r="J207">
        <v>3</v>
      </c>
      <c r="K207">
        <v>1</v>
      </c>
      <c r="L207">
        <v>1</v>
      </c>
      <c r="M207">
        <v>16</v>
      </c>
      <c r="N207">
        <v>16</v>
      </c>
      <c r="O207">
        <v>10</v>
      </c>
      <c r="P207">
        <v>6</v>
      </c>
      <c r="Q207">
        <v>24</v>
      </c>
      <c r="R207">
        <v>43</v>
      </c>
      <c r="S207">
        <v>12</v>
      </c>
      <c r="T207">
        <v>21</v>
      </c>
      <c r="U207">
        <v>10</v>
      </c>
      <c r="V207">
        <v>5</v>
      </c>
      <c r="W207">
        <v>1</v>
      </c>
      <c r="X207">
        <v>12</v>
      </c>
      <c r="Y207">
        <v>0</v>
      </c>
      <c r="Z207">
        <v>15</v>
      </c>
      <c r="AA207">
        <v>20</v>
      </c>
      <c r="AB207">
        <v>29</v>
      </c>
      <c r="AC207">
        <v>79</v>
      </c>
      <c r="AD207">
        <v>39</v>
      </c>
      <c r="AE207">
        <v>19</v>
      </c>
      <c r="AF207">
        <v>49</v>
      </c>
      <c r="AG207">
        <v>79</v>
      </c>
      <c r="AH207">
        <v>49</v>
      </c>
      <c r="AI207">
        <v>19</v>
      </c>
      <c r="AJ207">
        <v>2</v>
      </c>
      <c r="AK207">
        <v>14</v>
      </c>
      <c r="AL207">
        <v>-1</v>
      </c>
      <c r="AM207">
        <v>-1</v>
      </c>
      <c r="AN207">
        <v>0</v>
      </c>
      <c r="AO207">
        <v>0</v>
      </c>
      <c r="AP207">
        <v>0</v>
      </c>
      <c r="AQ207">
        <v>0</v>
      </c>
      <c r="AR207">
        <f t="shared" si="575"/>
        <v>0</v>
      </c>
      <c r="AS207">
        <f>IF(AND(IFERROR(VLOOKUP(AJ207,Equip!$A:$N,13,FALSE),0)&gt;=5,IFERROR(VLOOKUP(AJ207,Equip!$A:$N,13,FALSE),0)&lt;=9),INT(VLOOKUP(AJ207,Equip!$A:$N,6,FALSE)*SQRT(AN207)),0)</f>
        <v>0</v>
      </c>
      <c r="AT207">
        <f>IF(AND(IFERROR(VLOOKUP(AK207,Equip!$A:$N,13,FALSE),0)&gt;=5,IFERROR(VLOOKUP(AK207,Equip!$A:$N,13,FALSE),0)&lt;=9),INT(VLOOKUP(AK207,Equip!$A:$N,6,FALSE)*SQRT(AO207)),0)</f>
        <v>0</v>
      </c>
      <c r="AU207">
        <f>IF(AND(IFERROR(VLOOKUP(AL207,Equip!$A:$N,13,FALSE),0)&gt;=5,IFERROR(VLOOKUP(AL207,Equip!$A:$N,13,FALSE),0)&lt;=9),INT(VLOOKUP(AL207,Equip!$A:$N,6,FALSE)*SQRT(AP207)),0)</f>
        <v>0</v>
      </c>
      <c r="AV207">
        <f>IF(AND(IFERROR(VLOOKUP(AM207,Equip!$A:$N,13,FALSE),0)&gt;=5,IFERROR(VLOOKUP(AM207,Equip!$A:$N,13,FALSE),0)&lt;=9),INT(VLOOKUP(AM207,Equip!$A:$N,6,FALSE)*SQRT(AQ207)),0)</f>
        <v>0</v>
      </c>
      <c r="AW207">
        <f t="shared" si="564"/>
        <v>0</v>
      </c>
      <c r="AX207">
        <f t="shared" si="565"/>
        <v>329</v>
      </c>
    </row>
    <row r="208" spans="1:50">
      <c r="A208">
        <v>79</v>
      </c>
      <c r="B208" t="s">
        <v>813</v>
      </c>
      <c r="C208" t="s">
        <v>813</v>
      </c>
      <c r="D208">
        <v>1</v>
      </c>
      <c r="E208">
        <f>E207</f>
        <v>1320</v>
      </c>
      <c r="F208">
        <f t="shared" ref="F208" si="601">F207</f>
        <v>760</v>
      </c>
      <c r="G208">
        <f t="shared" ref="G208" si="602">G207</f>
        <v>79</v>
      </c>
      <c r="H208">
        <f t="shared" ref="H208" si="603">H207</f>
        <v>1</v>
      </c>
      <c r="I208">
        <f t="shared" ref="I208" si="604">I207</f>
        <v>1</v>
      </c>
      <c r="J208">
        <f t="shared" ref="J208" si="605">J207</f>
        <v>3</v>
      </c>
      <c r="K208">
        <v>1</v>
      </c>
      <c r="L208">
        <v>1</v>
      </c>
      <c r="M208">
        <v>30</v>
      </c>
      <c r="N208">
        <v>30</v>
      </c>
      <c r="O208">
        <v>18</v>
      </c>
      <c r="P208">
        <v>17</v>
      </c>
      <c r="Q208">
        <v>37</v>
      </c>
      <c r="R208">
        <v>53</v>
      </c>
      <c r="S208">
        <v>18</v>
      </c>
      <c r="T208">
        <v>31</v>
      </c>
      <c r="U208">
        <f t="shared" ref="U208" si="606">U207</f>
        <v>10</v>
      </c>
      <c r="V208">
        <v>13</v>
      </c>
      <c r="W208">
        <f t="shared" ref="W208" si="607">W207</f>
        <v>1</v>
      </c>
      <c r="X208">
        <v>12</v>
      </c>
      <c r="Y208">
        <f t="shared" ref="Y208" si="608">Y207</f>
        <v>0</v>
      </c>
      <c r="Z208">
        <v>15</v>
      </c>
      <c r="AA208">
        <v>20</v>
      </c>
      <c r="AB208">
        <v>49</v>
      </c>
      <c r="AC208">
        <v>79</v>
      </c>
      <c r="AD208">
        <v>49</v>
      </c>
      <c r="AE208">
        <v>49</v>
      </c>
      <c r="AF208">
        <v>59</v>
      </c>
      <c r="AG208">
        <v>89</v>
      </c>
      <c r="AH208">
        <v>59</v>
      </c>
      <c r="AI208">
        <v>39</v>
      </c>
      <c r="AJ208">
        <v>3</v>
      </c>
      <c r="AK208">
        <v>15</v>
      </c>
      <c r="AL208">
        <v>0</v>
      </c>
      <c r="AM208">
        <v>-1</v>
      </c>
      <c r="AN208">
        <v>0</v>
      </c>
      <c r="AO208">
        <v>0</v>
      </c>
      <c r="AP208">
        <v>0</v>
      </c>
      <c r="AQ208">
        <v>0</v>
      </c>
      <c r="AR208">
        <f t="shared" si="575"/>
        <v>0</v>
      </c>
      <c r="AS208">
        <f>IF(AND(IFERROR(VLOOKUP(AJ208,Equip!$A:$N,13,FALSE),0)&gt;=5,IFERROR(VLOOKUP(AJ208,Equip!$A:$N,13,FALSE),0)&lt;=9),INT(VLOOKUP(AJ208,Equip!$A:$N,6,FALSE)*SQRT(AN208)),0)</f>
        <v>0</v>
      </c>
      <c r="AT208">
        <f>IF(AND(IFERROR(VLOOKUP(AK208,Equip!$A:$N,13,FALSE),0)&gt;=5,IFERROR(VLOOKUP(AK208,Equip!$A:$N,13,FALSE),0)&lt;=9),INT(VLOOKUP(AK208,Equip!$A:$N,6,FALSE)*SQRT(AO208)),0)</f>
        <v>0</v>
      </c>
      <c r="AU208">
        <f>IF(AND(IFERROR(VLOOKUP(AL208,Equip!$A:$N,13,FALSE),0)&gt;=5,IFERROR(VLOOKUP(AL208,Equip!$A:$N,13,FALSE),0)&lt;=9),INT(VLOOKUP(AL208,Equip!$A:$N,6,FALSE)*SQRT(AP208)),0)</f>
        <v>0</v>
      </c>
      <c r="AV208">
        <f>IF(AND(IFERROR(VLOOKUP(AM208,Equip!$A:$N,13,FALSE),0)&gt;=5,IFERROR(VLOOKUP(AM208,Equip!$A:$N,13,FALSE),0)&lt;=9),INT(VLOOKUP(AM208,Equip!$A:$N,6,FALSE)*SQRT(AQ208)),0)</f>
        <v>0</v>
      </c>
      <c r="AW208">
        <f t="shared" si="564"/>
        <v>0</v>
      </c>
      <c r="AX208">
        <f t="shared" si="565"/>
        <v>443</v>
      </c>
    </row>
    <row r="209" spans="1:50">
      <c r="A209">
        <v>80</v>
      </c>
      <c r="B209" t="s">
        <v>814</v>
      </c>
      <c r="C209" t="s">
        <v>814</v>
      </c>
      <c r="D209">
        <v>0</v>
      </c>
      <c r="E209">
        <v>1320</v>
      </c>
      <c r="F209">
        <v>760</v>
      </c>
      <c r="G209">
        <v>80</v>
      </c>
      <c r="H209">
        <v>1</v>
      </c>
      <c r="I209">
        <v>1</v>
      </c>
      <c r="J209">
        <v>6</v>
      </c>
      <c r="K209">
        <v>1</v>
      </c>
      <c r="L209">
        <v>4</v>
      </c>
      <c r="M209">
        <v>16</v>
      </c>
      <c r="N209">
        <v>16</v>
      </c>
      <c r="O209">
        <v>10</v>
      </c>
      <c r="P209">
        <v>6</v>
      </c>
      <c r="Q209">
        <v>24</v>
      </c>
      <c r="R209">
        <v>43</v>
      </c>
      <c r="S209">
        <v>9</v>
      </c>
      <c r="T209">
        <v>21</v>
      </c>
      <c r="U209">
        <v>10</v>
      </c>
      <c r="V209">
        <v>5</v>
      </c>
      <c r="W209">
        <v>1</v>
      </c>
      <c r="X209">
        <v>10</v>
      </c>
      <c r="Y209">
        <v>0</v>
      </c>
      <c r="Z209">
        <v>15</v>
      </c>
      <c r="AA209">
        <v>20</v>
      </c>
      <c r="AB209">
        <v>29</v>
      </c>
      <c r="AC209">
        <v>69</v>
      </c>
      <c r="AD209">
        <v>39</v>
      </c>
      <c r="AE209">
        <v>19</v>
      </c>
      <c r="AF209">
        <v>49</v>
      </c>
      <c r="AG209">
        <v>79</v>
      </c>
      <c r="AH209">
        <v>49</v>
      </c>
      <c r="AI209">
        <v>19</v>
      </c>
      <c r="AJ209">
        <v>2</v>
      </c>
      <c r="AK209">
        <v>0</v>
      </c>
      <c r="AL209">
        <v>-1</v>
      </c>
      <c r="AM209">
        <v>-1</v>
      </c>
      <c r="AN209">
        <v>0</v>
      </c>
      <c r="AO209">
        <v>0</v>
      </c>
      <c r="AP209">
        <v>0</v>
      </c>
      <c r="AQ209">
        <v>0</v>
      </c>
      <c r="AR209">
        <f t="shared" si="575"/>
        <v>0</v>
      </c>
      <c r="AS209">
        <f>IF(AND(IFERROR(VLOOKUP(AJ209,Equip!$A:$N,13,FALSE),0)&gt;=5,IFERROR(VLOOKUP(AJ209,Equip!$A:$N,13,FALSE),0)&lt;=9),INT(VLOOKUP(AJ209,Equip!$A:$N,6,FALSE)*SQRT(AN209)),0)</f>
        <v>0</v>
      </c>
      <c r="AT209">
        <f>IF(AND(IFERROR(VLOOKUP(AK209,Equip!$A:$N,13,FALSE),0)&gt;=5,IFERROR(VLOOKUP(AK209,Equip!$A:$N,13,FALSE),0)&lt;=9),INT(VLOOKUP(AK209,Equip!$A:$N,6,FALSE)*SQRT(AO209)),0)</f>
        <v>0</v>
      </c>
      <c r="AU209">
        <f>IF(AND(IFERROR(VLOOKUP(AL209,Equip!$A:$N,13,FALSE),0)&gt;=5,IFERROR(VLOOKUP(AL209,Equip!$A:$N,13,FALSE),0)&lt;=9),INT(VLOOKUP(AL209,Equip!$A:$N,6,FALSE)*SQRT(AP209)),0)</f>
        <v>0</v>
      </c>
      <c r="AV209">
        <f>IF(AND(IFERROR(VLOOKUP(AM209,Equip!$A:$N,13,FALSE),0)&gt;=5,IFERROR(VLOOKUP(AM209,Equip!$A:$N,13,FALSE),0)&lt;=9),INT(VLOOKUP(AM209,Equip!$A:$N,6,FALSE)*SQRT(AQ209)),0)</f>
        <v>0</v>
      </c>
      <c r="AW209">
        <f t="shared" si="564"/>
        <v>0</v>
      </c>
      <c r="AX209">
        <f t="shared" si="565"/>
        <v>319</v>
      </c>
    </row>
    <row r="210" spans="1:50">
      <c r="A210">
        <v>80</v>
      </c>
      <c r="B210" t="s">
        <v>814</v>
      </c>
      <c r="C210" t="s">
        <v>814</v>
      </c>
      <c r="D210">
        <v>1</v>
      </c>
      <c r="E210">
        <f t="shared" ref="E210:E211" si="609">E209</f>
        <v>1320</v>
      </c>
      <c r="F210">
        <f t="shared" ref="F210:F211" si="610">F209</f>
        <v>760</v>
      </c>
      <c r="G210">
        <f t="shared" ref="G210:G211" si="611">G209</f>
        <v>80</v>
      </c>
      <c r="H210">
        <f t="shared" ref="H210:H211" si="612">H209</f>
        <v>1</v>
      </c>
      <c r="I210">
        <f t="shared" ref="I210:I211" si="613">I209</f>
        <v>1</v>
      </c>
      <c r="J210">
        <f t="shared" ref="J210:J211" si="614">J209</f>
        <v>6</v>
      </c>
      <c r="K210">
        <v>1</v>
      </c>
      <c r="L210">
        <v>4</v>
      </c>
      <c r="M210">
        <v>30</v>
      </c>
      <c r="N210">
        <v>30</v>
      </c>
      <c r="O210">
        <v>15</v>
      </c>
      <c r="P210">
        <v>17</v>
      </c>
      <c r="Q210">
        <v>37</v>
      </c>
      <c r="R210">
        <v>53</v>
      </c>
      <c r="S210">
        <v>18</v>
      </c>
      <c r="T210">
        <v>31</v>
      </c>
      <c r="U210">
        <f t="shared" ref="U210:U211" si="615">U209</f>
        <v>10</v>
      </c>
      <c r="V210">
        <v>13</v>
      </c>
      <c r="W210">
        <f t="shared" ref="W210:W211" si="616">W209</f>
        <v>1</v>
      </c>
      <c r="X210">
        <v>12</v>
      </c>
      <c r="Y210">
        <f t="shared" ref="Y210:Y211" si="617">Y209</f>
        <v>0</v>
      </c>
      <c r="Z210">
        <v>15</v>
      </c>
      <c r="AA210">
        <v>20</v>
      </c>
      <c r="AB210">
        <v>49</v>
      </c>
      <c r="AC210">
        <v>79</v>
      </c>
      <c r="AD210">
        <v>49</v>
      </c>
      <c r="AE210">
        <v>49</v>
      </c>
      <c r="AF210">
        <v>59</v>
      </c>
      <c r="AG210">
        <v>89</v>
      </c>
      <c r="AH210">
        <v>59</v>
      </c>
      <c r="AI210">
        <v>39</v>
      </c>
      <c r="AJ210">
        <v>3</v>
      </c>
      <c r="AK210">
        <v>15</v>
      </c>
      <c r="AL210">
        <v>0</v>
      </c>
      <c r="AM210">
        <v>-1</v>
      </c>
      <c r="AN210">
        <v>0</v>
      </c>
      <c r="AO210">
        <v>0</v>
      </c>
      <c r="AP210">
        <v>0</v>
      </c>
      <c r="AQ210">
        <v>0</v>
      </c>
      <c r="AR210">
        <f t="shared" si="575"/>
        <v>0</v>
      </c>
      <c r="AS210">
        <f>IF(AND(IFERROR(VLOOKUP(AJ210,Equip!$A:$N,13,FALSE),0)&gt;=5,IFERROR(VLOOKUP(AJ210,Equip!$A:$N,13,FALSE),0)&lt;=9),INT(VLOOKUP(AJ210,Equip!$A:$N,6,FALSE)*SQRT(AN210)),0)</f>
        <v>0</v>
      </c>
      <c r="AT210">
        <f>IF(AND(IFERROR(VLOOKUP(AK210,Equip!$A:$N,13,FALSE),0)&gt;=5,IFERROR(VLOOKUP(AK210,Equip!$A:$N,13,FALSE),0)&lt;=9),INT(VLOOKUP(AK210,Equip!$A:$N,6,FALSE)*SQRT(AO210)),0)</f>
        <v>0</v>
      </c>
      <c r="AU210">
        <f>IF(AND(IFERROR(VLOOKUP(AL210,Equip!$A:$N,13,FALSE),0)&gt;=5,IFERROR(VLOOKUP(AL210,Equip!$A:$N,13,FALSE),0)&lt;=9),INT(VLOOKUP(AL210,Equip!$A:$N,6,FALSE)*SQRT(AP210)),0)</f>
        <v>0</v>
      </c>
      <c r="AV210">
        <f>IF(AND(IFERROR(VLOOKUP(AM210,Equip!$A:$N,13,FALSE),0)&gt;=5,IFERROR(VLOOKUP(AM210,Equip!$A:$N,13,FALSE),0)&lt;=9),INT(VLOOKUP(AM210,Equip!$A:$N,6,FALSE)*SQRT(AQ210)),0)</f>
        <v>0</v>
      </c>
      <c r="AW210">
        <f t="shared" si="564"/>
        <v>0</v>
      </c>
      <c r="AX210">
        <f t="shared" si="565"/>
        <v>443</v>
      </c>
    </row>
    <row r="211" spans="1:50">
      <c r="A211">
        <v>80</v>
      </c>
      <c r="B211" t="s">
        <v>814</v>
      </c>
      <c r="C211" t="s">
        <v>814</v>
      </c>
      <c r="D211">
        <v>2</v>
      </c>
      <c r="E211">
        <f t="shared" si="609"/>
        <v>1320</v>
      </c>
      <c r="F211">
        <f t="shared" si="610"/>
        <v>760</v>
      </c>
      <c r="G211">
        <f t="shared" si="611"/>
        <v>80</v>
      </c>
      <c r="H211">
        <f t="shared" si="612"/>
        <v>1</v>
      </c>
      <c r="I211">
        <f t="shared" si="613"/>
        <v>1</v>
      </c>
      <c r="J211">
        <f t="shared" si="614"/>
        <v>6</v>
      </c>
      <c r="K211">
        <v>1</v>
      </c>
      <c r="L211">
        <v>4</v>
      </c>
      <c r="M211">
        <v>31</v>
      </c>
      <c r="N211">
        <v>31</v>
      </c>
      <c r="O211">
        <v>35</v>
      </c>
      <c r="P211">
        <v>33</v>
      </c>
      <c r="Q211">
        <v>56</v>
      </c>
      <c r="R211">
        <v>80</v>
      </c>
      <c r="S211">
        <v>36</v>
      </c>
      <c r="T211">
        <v>53</v>
      </c>
      <c r="U211">
        <f t="shared" si="615"/>
        <v>10</v>
      </c>
      <c r="V211">
        <v>29</v>
      </c>
      <c r="W211">
        <f t="shared" si="616"/>
        <v>1</v>
      </c>
      <c r="X211">
        <v>50</v>
      </c>
      <c r="Y211">
        <f t="shared" si="617"/>
        <v>0</v>
      </c>
      <c r="Z211">
        <v>15</v>
      </c>
      <c r="AA211">
        <v>20</v>
      </c>
      <c r="AB211">
        <v>59</v>
      </c>
      <c r="AC211">
        <v>84</v>
      </c>
      <c r="AD211">
        <v>72</v>
      </c>
      <c r="AE211">
        <v>52</v>
      </c>
      <c r="AF211">
        <v>88</v>
      </c>
      <c r="AG211">
        <v>93</v>
      </c>
      <c r="AH211">
        <v>71</v>
      </c>
      <c r="AI211">
        <v>43</v>
      </c>
      <c r="AJ211">
        <v>28</v>
      </c>
      <c r="AK211">
        <v>27</v>
      </c>
      <c r="AL211">
        <v>0</v>
      </c>
      <c r="AM211">
        <v>-1</v>
      </c>
      <c r="AN211">
        <v>0</v>
      </c>
      <c r="AO211">
        <v>0</v>
      </c>
      <c r="AP211">
        <v>0</v>
      </c>
      <c r="AQ211">
        <v>0</v>
      </c>
      <c r="AR211">
        <f t="shared" si="575"/>
        <v>0</v>
      </c>
      <c r="AS211">
        <f>IF(AND(IFERROR(VLOOKUP(AJ211,Equip!$A:$N,13,FALSE),0)&gt;=5,IFERROR(VLOOKUP(AJ211,Equip!$A:$N,13,FALSE),0)&lt;=9),INT(VLOOKUP(AJ211,Equip!$A:$N,6,FALSE)*SQRT(AN211)),0)</f>
        <v>0</v>
      </c>
      <c r="AT211">
        <f>IF(AND(IFERROR(VLOOKUP(AK211,Equip!$A:$N,13,FALSE),0)&gt;=5,IFERROR(VLOOKUP(AK211,Equip!$A:$N,13,FALSE),0)&lt;=9),INT(VLOOKUP(AK211,Equip!$A:$N,6,FALSE)*SQRT(AO211)),0)</f>
        <v>0</v>
      </c>
      <c r="AU211">
        <f>IF(AND(IFERROR(VLOOKUP(AL211,Equip!$A:$N,13,FALSE),0)&gt;=5,IFERROR(VLOOKUP(AL211,Equip!$A:$N,13,FALSE),0)&lt;=9),INT(VLOOKUP(AL211,Equip!$A:$N,6,FALSE)*SQRT(AP211)),0)</f>
        <v>0</v>
      </c>
      <c r="AV211">
        <f>IF(AND(IFERROR(VLOOKUP(AM211,Equip!$A:$N,13,FALSE),0)&gt;=5,IFERROR(VLOOKUP(AM211,Equip!$A:$N,13,FALSE),0)&lt;=9),INT(VLOOKUP(AM211,Equip!$A:$N,6,FALSE)*SQRT(AQ211)),0)</f>
        <v>0</v>
      </c>
      <c r="AW211">
        <f t="shared" si="564"/>
        <v>0</v>
      </c>
      <c r="AX211">
        <f t="shared" si="565"/>
        <v>505</v>
      </c>
    </row>
    <row r="212" spans="1:50">
      <c r="A212">
        <v>81</v>
      </c>
      <c r="B212" t="s">
        <v>815</v>
      </c>
      <c r="C212" t="s">
        <v>815</v>
      </c>
      <c r="D212">
        <v>0</v>
      </c>
      <c r="E212">
        <v>1320</v>
      </c>
      <c r="F212">
        <v>760</v>
      </c>
      <c r="G212">
        <v>81</v>
      </c>
      <c r="H212">
        <v>1</v>
      </c>
      <c r="I212">
        <v>1</v>
      </c>
      <c r="J212">
        <v>11</v>
      </c>
      <c r="K212">
        <v>1</v>
      </c>
      <c r="L212">
        <v>1</v>
      </c>
      <c r="M212">
        <v>16</v>
      </c>
      <c r="N212">
        <v>16</v>
      </c>
      <c r="O212">
        <v>10</v>
      </c>
      <c r="P212">
        <v>6</v>
      </c>
      <c r="Q212">
        <v>24</v>
      </c>
      <c r="R212">
        <v>43</v>
      </c>
      <c r="S212">
        <v>9</v>
      </c>
      <c r="T212">
        <v>21</v>
      </c>
      <c r="U212">
        <v>10</v>
      </c>
      <c r="V212">
        <v>5</v>
      </c>
      <c r="W212">
        <v>1</v>
      </c>
      <c r="X212">
        <v>10</v>
      </c>
      <c r="Y212">
        <v>0</v>
      </c>
      <c r="Z212">
        <v>15</v>
      </c>
      <c r="AA212">
        <v>20</v>
      </c>
      <c r="AB212">
        <v>29</v>
      </c>
      <c r="AC212">
        <v>69</v>
      </c>
      <c r="AD212">
        <v>39</v>
      </c>
      <c r="AE212">
        <v>19</v>
      </c>
      <c r="AF212">
        <v>49</v>
      </c>
      <c r="AG212">
        <v>79</v>
      </c>
      <c r="AH212">
        <v>49</v>
      </c>
      <c r="AI212">
        <v>19</v>
      </c>
      <c r="AJ212">
        <v>2</v>
      </c>
      <c r="AK212">
        <v>0</v>
      </c>
      <c r="AL212">
        <v>-1</v>
      </c>
      <c r="AM212">
        <v>-1</v>
      </c>
      <c r="AN212">
        <v>0</v>
      </c>
      <c r="AO212">
        <v>0</v>
      </c>
      <c r="AP212">
        <v>0</v>
      </c>
      <c r="AQ212">
        <v>0</v>
      </c>
      <c r="AR212">
        <f t="shared" si="575"/>
        <v>0</v>
      </c>
      <c r="AS212">
        <f>IF(AND(IFERROR(VLOOKUP(AJ212,Equip!$A:$N,13,FALSE),0)&gt;=5,IFERROR(VLOOKUP(AJ212,Equip!$A:$N,13,FALSE),0)&lt;=9),INT(VLOOKUP(AJ212,Equip!$A:$N,6,FALSE)*SQRT(AN212)),0)</f>
        <v>0</v>
      </c>
      <c r="AT212">
        <f>IF(AND(IFERROR(VLOOKUP(AK212,Equip!$A:$N,13,FALSE),0)&gt;=5,IFERROR(VLOOKUP(AK212,Equip!$A:$N,13,FALSE),0)&lt;=9),INT(VLOOKUP(AK212,Equip!$A:$N,6,FALSE)*SQRT(AO212)),0)</f>
        <v>0</v>
      </c>
      <c r="AU212">
        <f>IF(AND(IFERROR(VLOOKUP(AL212,Equip!$A:$N,13,FALSE),0)&gt;=5,IFERROR(VLOOKUP(AL212,Equip!$A:$N,13,FALSE),0)&lt;=9),INT(VLOOKUP(AL212,Equip!$A:$N,6,FALSE)*SQRT(AP212)),0)</f>
        <v>0</v>
      </c>
      <c r="AV212">
        <f>IF(AND(IFERROR(VLOOKUP(AM212,Equip!$A:$N,13,FALSE),0)&gt;=5,IFERROR(VLOOKUP(AM212,Equip!$A:$N,13,FALSE),0)&lt;=9),INT(VLOOKUP(AM212,Equip!$A:$N,6,FALSE)*SQRT(AQ212)),0)</f>
        <v>0</v>
      </c>
      <c r="AW212">
        <f t="shared" si="564"/>
        <v>0</v>
      </c>
      <c r="AX212">
        <f t="shared" si="565"/>
        <v>319</v>
      </c>
    </row>
    <row r="213" spans="1:50">
      <c r="A213">
        <v>81</v>
      </c>
      <c r="B213" t="s">
        <v>815</v>
      </c>
      <c r="C213" t="s">
        <v>815</v>
      </c>
      <c r="D213">
        <v>1</v>
      </c>
      <c r="E213">
        <f>E212</f>
        <v>1320</v>
      </c>
      <c r="F213">
        <f t="shared" ref="F213" si="618">F212</f>
        <v>760</v>
      </c>
      <c r="G213">
        <f t="shared" ref="G213" si="619">G212</f>
        <v>81</v>
      </c>
      <c r="H213">
        <f t="shared" ref="H213" si="620">H212</f>
        <v>1</v>
      </c>
      <c r="I213">
        <f t="shared" ref="I213" si="621">I212</f>
        <v>1</v>
      </c>
      <c r="J213">
        <f t="shared" ref="J213" si="622">J212</f>
        <v>11</v>
      </c>
      <c r="K213">
        <v>1</v>
      </c>
      <c r="L213">
        <v>1</v>
      </c>
      <c r="M213">
        <v>30</v>
      </c>
      <c r="N213">
        <v>30</v>
      </c>
      <c r="O213">
        <v>15</v>
      </c>
      <c r="P213">
        <v>17</v>
      </c>
      <c r="Q213">
        <v>33</v>
      </c>
      <c r="R213">
        <v>53</v>
      </c>
      <c r="S213">
        <v>18</v>
      </c>
      <c r="T213">
        <v>31</v>
      </c>
      <c r="U213">
        <f t="shared" ref="U213" si="623">U212</f>
        <v>10</v>
      </c>
      <c r="V213">
        <v>13</v>
      </c>
      <c r="W213">
        <f t="shared" ref="W213" si="624">W212</f>
        <v>1</v>
      </c>
      <c r="X213">
        <v>12</v>
      </c>
      <c r="Y213">
        <f t="shared" ref="Y213" si="625">Y212</f>
        <v>0</v>
      </c>
      <c r="Z213">
        <v>15</v>
      </c>
      <c r="AA213">
        <v>20</v>
      </c>
      <c r="AB213">
        <v>49</v>
      </c>
      <c r="AC213">
        <v>79</v>
      </c>
      <c r="AD213">
        <v>49</v>
      </c>
      <c r="AE213">
        <v>49</v>
      </c>
      <c r="AF213">
        <v>59</v>
      </c>
      <c r="AG213">
        <v>89</v>
      </c>
      <c r="AH213">
        <v>59</v>
      </c>
      <c r="AI213">
        <v>39</v>
      </c>
      <c r="AJ213">
        <v>3</v>
      </c>
      <c r="AK213">
        <v>15</v>
      </c>
      <c r="AL213">
        <v>0</v>
      </c>
      <c r="AM213">
        <v>-1</v>
      </c>
      <c r="AN213">
        <v>0</v>
      </c>
      <c r="AO213">
        <v>0</v>
      </c>
      <c r="AP213">
        <v>0</v>
      </c>
      <c r="AQ213">
        <v>0</v>
      </c>
      <c r="AR213">
        <f t="shared" si="575"/>
        <v>0</v>
      </c>
      <c r="AS213">
        <f>IF(AND(IFERROR(VLOOKUP(AJ213,Equip!$A:$N,13,FALSE),0)&gt;=5,IFERROR(VLOOKUP(AJ213,Equip!$A:$N,13,FALSE),0)&lt;=9),INT(VLOOKUP(AJ213,Equip!$A:$N,6,FALSE)*SQRT(AN213)),0)</f>
        <v>0</v>
      </c>
      <c r="AT213">
        <f>IF(AND(IFERROR(VLOOKUP(AK213,Equip!$A:$N,13,FALSE),0)&gt;=5,IFERROR(VLOOKUP(AK213,Equip!$A:$N,13,FALSE),0)&lt;=9),INT(VLOOKUP(AK213,Equip!$A:$N,6,FALSE)*SQRT(AO213)),0)</f>
        <v>0</v>
      </c>
      <c r="AU213">
        <f>IF(AND(IFERROR(VLOOKUP(AL213,Equip!$A:$N,13,FALSE),0)&gt;=5,IFERROR(VLOOKUP(AL213,Equip!$A:$N,13,FALSE),0)&lt;=9),INT(VLOOKUP(AL213,Equip!$A:$N,6,FALSE)*SQRT(AP213)),0)</f>
        <v>0</v>
      </c>
      <c r="AV213">
        <f>IF(AND(IFERROR(VLOOKUP(AM213,Equip!$A:$N,13,FALSE),0)&gt;=5,IFERROR(VLOOKUP(AM213,Equip!$A:$N,13,FALSE),0)&lt;=9),INT(VLOOKUP(AM213,Equip!$A:$N,6,FALSE)*SQRT(AQ213)),0)</f>
        <v>0</v>
      </c>
      <c r="AW213">
        <f t="shared" si="564"/>
        <v>0</v>
      </c>
      <c r="AX213">
        <f t="shared" si="565"/>
        <v>443</v>
      </c>
    </row>
    <row r="214" spans="1:50">
      <c r="A214">
        <v>82</v>
      </c>
      <c r="B214" t="s">
        <v>816</v>
      </c>
      <c r="C214" t="s">
        <v>816</v>
      </c>
      <c r="D214">
        <v>0</v>
      </c>
      <c r="E214">
        <v>1320</v>
      </c>
      <c r="F214">
        <v>760</v>
      </c>
      <c r="G214">
        <v>82</v>
      </c>
      <c r="H214">
        <v>1</v>
      </c>
      <c r="I214">
        <v>1</v>
      </c>
      <c r="J214">
        <v>4</v>
      </c>
      <c r="K214">
        <v>1</v>
      </c>
      <c r="L214">
        <v>1</v>
      </c>
      <c r="M214">
        <v>16</v>
      </c>
      <c r="N214">
        <v>16</v>
      </c>
      <c r="O214">
        <v>10</v>
      </c>
      <c r="P214">
        <v>6</v>
      </c>
      <c r="Q214">
        <v>24</v>
      </c>
      <c r="R214">
        <v>43</v>
      </c>
      <c r="S214">
        <v>9</v>
      </c>
      <c r="T214">
        <v>21</v>
      </c>
      <c r="U214">
        <v>10</v>
      </c>
      <c r="V214">
        <v>5</v>
      </c>
      <c r="W214">
        <v>1</v>
      </c>
      <c r="X214">
        <v>10</v>
      </c>
      <c r="Y214">
        <v>0</v>
      </c>
      <c r="Z214">
        <v>15</v>
      </c>
      <c r="AA214">
        <v>20</v>
      </c>
      <c r="AB214">
        <v>29</v>
      </c>
      <c r="AC214">
        <v>69</v>
      </c>
      <c r="AD214">
        <v>39</v>
      </c>
      <c r="AE214">
        <v>19</v>
      </c>
      <c r="AF214">
        <v>49</v>
      </c>
      <c r="AG214">
        <v>79</v>
      </c>
      <c r="AH214">
        <v>49</v>
      </c>
      <c r="AI214">
        <v>19</v>
      </c>
      <c r="AJ214">
        <v>2</v>
      </c>
      <c r="AK214">
        <v>0</v>
      </c>
      <c r="AL214">
        <v>-1</v>
      </c>
      <c r="AM214">
        <v>-1</v>
      </c>
      <c r="AN214">
        <v>0</v>
      </c>
      <c r="AO214">
        <v>0</v>
      </c>
      <c r="AP214">
        <v>0</v>
      </c>
      <c r="AQ214">
        <v>0</v>
      </c>
      <c r="AR214">
        <f t="shared" si="575"/>
        <v>0</v>
      </c>
      <c r="AS214">
        <f>IF(AND(IFERROR(VLOOKUP(AJ214,Equip!$A:$N,13,FALSE),0)&gt;=5,IFERROR(VLOOKUP(AJ214,Equip!$A:$N,13,FALSE),0)&lt;=9),INT(VLOOKUP(AJ214,Equip!$A:$N,6,FALSE)*SQRT(AN214)),0)</f>
        <v>0</v>
      </c>
      <c r="AT214">
        <f>IF(AND(IFERROR(VLOOKUP(AK214,Equip!$A:$N,13,FALSE),0)&gt;=5,IFERROR(VLOOKUP(AK214,Equip!$A:$N,13,FALSE),0)&lt;=9),INT(VLOOKUP(AK214,Equip!$A:$N,6,FALSE)*SQRT(AO214)),0)</f>
        <v>0</v>
      </c>
      <c r="AU214">
        <f>IF(AND(IFERROR(VLOOKUP(AL214,Equip!$A:$N,13,FALSE),0)&gt;=5,IFERROR(VLOOKUP(AL214,Equip!$A:$N,13,FALSE),0)&lt;=9),INT(VLOOKUP(AL214,Equip!$A:$N,6,FALSE)*SQRT(AP214)),0)</f>
        <v>0</v>
      </c>
      <c r="AV214">
        <f>IF(AND(IFERROR(VLOOKUP(AM214,Equip!$A:$N,13,FALSE),0)&gt;=5,IFERROR(VLOOKUP(AM214,Equip!$A:$N,13,FALSE),0)&lt;=9),INT(VLOOKUP(AM214,Equip!$A:$N,6,FALSE)*SQRT(AQ214)),0)</f>
        <v>0</v>
      </c>
      <c r="AW214">
        <f t="shared" si="564"/>
        <v>0</v>
      </c>
      <c r="AX214">
        <f t="shared" si="565"/>
        <v>319</v>
      </c>
    </row>
    <row r="215" spans="1:50">
      <c r="A215">
        <v>82</v>
      </c>
      <c r="B215" t="s">
        <v>816</v>
      </c>
      <c r="C215" t="s">
        <v>816</v>
      </c>
      <c r="D215">
        <v>1</v>
      </c>
      <c r="E215">
        <f t="shared" ref="E215:E216" si="626">E214</f>
        <v>1320</v>
      </c>
      <c r="F215">
        <f t="shared" ref="F215:F216" si="627">F214</f>
        <v>760</v>
      </c>
      <c r="G215">
        <f t="shared" ref="G215:G216" si="628">G214</f>
        <v>82</v>
      </c>
      <c r="H215">
        <f t="shared" ref="H215:H216" si="629">H214</f>
        <v>1</v>
      </c>
      <c r="I215">
        <f t="shared" ref="I215:I216" si="630">I214</f>
        <v>1</v>
      </c>
      <c r="J215">
        <f t="shared" ref="J215:J216" si="631">J214</f>
        <v>4</v>
      </c>
      <c r="K215">
        <v>1</v>
      </c>
      <c r="L215">
        <v>1</v>
      </c>
      <c r="M215">
        <v>30</v>
      </c>
      <c r="N215">
        <v>30</v>
      </c>
      <c r="O215">
        <v>18</v>
      </c>
      <c r="P215">
        <v>17</v>
      </c>
      <c r="Q215">
        <v>33</v>
      </c>
      <c r="R215">
        <v>53</v>
      </c>
      <c r="S215">
        <v>18</v>
      </c>
      <c r="T215">
        <v>31</v>
      </c>
      <c r="U215">
        <f t="shared" ref="U215:U216" si="632">U214</f>
        <v>10</v>
      </c>
      <c r="V215">
        <v>13</v>
      </c>
      <c r="W215">
        <f t="shared" ref="W215:W216" si="633">W214</f>
        <v>1</v>
      </c>
      <c r="X215">
        <v>12</v>
      </c>
      <c r="Y215">
        <f t="shared" ref="Y215:Y216" si="634">Y214</f>
        <v>0</v>
      </c>
      <c r="Z215">
        <v>15</v>
      </c>
      <c r="AA215">
        <v>20</v>
      </c>
      <c r="AB215">
        <v>49</v>
      </c>
      <c r="AC215">
        <v>79</v>
      </c>
      <c r="AD215">
        <v>49</v>
      </c>
      <c r="AE215">
        <v>49</v>
      </c>
      <c r="AF215">
        <v>59</v>
      </c>
      <c r="AG215">
        <v>89</v>
      </c>
      <c r="AH215">
        <v>59</v>
      </c>
      <c r="AI215">
        <v>39</v>
      </c>
      <c r="AJ215">
        <v>3</v>
      </c>
      <c r="AK215">
        <v>15</v>
      </c>
      <c r="AL215">
        <v>0</v>
      </c>
      <c r="AM215">
        <v>-1</v>
      </c>
      <c r="AN215">
        <v>0</v>
      </c>
      <c r="AO215">
        <v>0</v>
      </c>
      <c r="AP215">
        <v>0</v>
      </c>
      <c r="AQ215">
        <v>0</v>
      </c>
      <c r="AR215">
        <f t="shared" si="575"/>
        <v>0</v>
      </c>
      <c r="AS215">
        <f>IF(AND(IFERROR(VLOOKUP(AJ215,Equip!$A:$N,13,FALSE),0)&gt;=5,IFERROR(VLOOKUP(AJ215,Equip!$A:$N,13,FALSE),0)&lt;=9),INT(VLOOKUP(AJ215,Equip!$A:$N,6,FALSE)*SQRT(AN215)),0)</f>
        <v>0</v>
      </c>
      <c r="AT215">
        <f>IF(AND(IFERROR(VLOOKUP(AK215,Equip!$A:$N,13,FALSE),0)&gt;=5,IFERROR(VLOOKUP(AK215,Equip!$A:$N,13,FALSE),0)&lt;=9),INT(VLOOKUP(AK215,Equip!$A:$N,6,FALSE)*SQRT(AO215)),0)</f>
        <v>0</v>
      </c>
      <c r="AU215">
        <f>IF(AND(IFERROR(VLOOKUP(AL215,Equip!$A:$N,13,FALSE),0)&gt;=5,IFERROR(VLOOKUP(AL215,Equip!$A:$N,13,FALSE),0)&lt;=9),INT(VLOOKUP(AL215,Equip!$A:$N,6,FALSE)*SQRT(AP215)),0)</f>
        <v>0</v>
      </c>
      <c r="AV215">
        <f>IF(AND(IFERROR(VLOOKUP(AM215,Equip!$A:$N,13,FALSE),0)&gt;=5,IFERROR(VLOOKUP(AM215,Equip!$A:$N,13,FALSE),0)&lt;=9),INT(VLOOKUP(AM215,Equip!$A:$N,6,FALSE)*SQRT(AQ215)),0)</f>
        <v>0</v>
      </c>
      <c r="AW215">
        <f t="shared" si="564"/>
        <v>0</v>
      </c>
      <c r="AX215">
        <f t="shared" si="565"/>
        <v>443</v>
      </c>
    </row>
    <row r="216" spans="1:50">
      <c r="A216">
        <v>82</v>
      </c>
      <c r="B216" t="s">
        <v>816</v>
      </c>
      <c r="C216" t="s">
        <v>816</v>
      </c>
      <c r="D216">
        <v>2</v>
      </c>
      <c r="E216">
        <f t="shared" si="626"/>
        <v>1320</v>
      </c>
      <c r="F216">
        <f t="shared" si="627"/>
        <v>760</v>
      </c>
      <c r="G216">
        <f t="shared" si="628"/>
        <v>82</v>
      </c>
      <c r="H216">
        <f t="shared" si="629"/>
        <v>1</v>
      </c>
      <c r="I216">
        <f t="shared" si="630"/>
        <v>1</v>
      </c>
      <c r="J216">
        <f t="shared" si="631"/>
        <v>4</v>
      </c>
      <c r="K216">
        <v>1</v>
      </c>
      <c r="L216">
        <v>1</v>
      </c>
      <c r="M216">
        <v>31</v>
      </c>
      <c r="N216">
        <v>31</v>
      </c>
      <c r="O216">
        <v>42</v>
      </c>
      <c r="P216">
        <v>23</v>
      </c>
      <c r="Q216">
        <v>50</v>
      </c>
      <c r="R216">
        <v>69</v>
      </c>
      <c r="S216">
        <v>26</v>
      </c>
      <c r="T216">
        <v>50</v>
      </c>
      <c r="U216">
        <f t="shared" si="632"/>
        <v>10</v>
      </c>
      <c r="V216">
        <v>32</v>
      </c>
      <c r="W216">
        <f t="shared" si="633"/>
        <v>1</v>
      </c>
      <c r="X216">
        <v>20</v>
      </c>
      <c r="Y216">
        <f t="shared" si="634"/>
        <v>0</v>
      </c>
      <c r="Z216">
        <v>15</v>
      </c>
      <c r="AA216">
        <v>20</v>
      </c>
      <c r="AB216">
        <v>73</v>
      </c>
      <c r="AC216">
        <v>93</v>
      </c>
      <c r="AD216">
        <v>59</v>
      </c>
      <c r="AE216">
        <v>52</v>
      </c>
      <c r="AF216">
        <v>59</v>
      </c>
      <c r="AG216">
        <v>89</v>
      </c>
      <c r="AH216">
        <v>69</v>
      </c>
      <c r="AI216">
        <v>49</v>
      </c>
      <c r="AJ216">
        <v>63</v>
      </c>
      <c r="AK216">
        <v>15</v>
      </c>
      <c r="AL216">
        <v>0</v>
      </c>
      <c r="AM216">
        <v>-1</v>
      </c>
      <c r="AN216">
        <v>0</v>
      </c>
      <c r="AO216">
        <v>0</v>
      </c>
      <c r="AP216">
        <v>0</v>
      </c>
      <c r="AQ216">
        <v>0</v>
      </c>
      <c r="AR216">
        <f t="shared" si="575"/>
        <v>0</v>
      </c>
      <c r="AS216">
        <f>IF(AND(IFERROR(VLOOKUP(AJ216,Equip!$A:$N,13,FALSE),0)&gt;=5,IFERROR(VLOOKUP(AJ216,Equip!$A:$N,13,FALSE),0)&lt;=9),INT(VLOOKUP(AJ216,Equip!$A:$N,6,FALSE)*SQRT(AN216)),0)</f>
        <v>0</v>
      </c>
      <c r="AT216">
        <f>IF(AND(IFERROR(VLOOKUP(AK216,Equip!$A:$N,13,FALSE),0)&gt;=5,IFERROR(VLOOKUP(AK216,Equip!$A:$N,13,FALSE),0)&lt;=9),INT(VLOOKUP(AK216,Equip!$A:$N,6,FALSE)*SQRT(AO216)),0)</f>
        <v>0</v>
      </c>
      <c r="AU216">
        <f>IF(AND(IFERROR(VLOOKUP(AL216,Equip!$A:$N,13,FALSE),0)&gt;=5,IFERROR(VLOOKUP(AL216,Equip!$A:$N,13,FALSE),0)&lt;=9),INT(VLOOKUP(AL216,Equip!$A:$N,6,FALSE)*SQRT(AP216)),0)</f>
        <v>0</v>
      </c>
      <c r="AV216">
        <f>IF(AND(IFERROR(VLOOKUP(AM216,Equip!$A:$N,13,FALSE),0)&gt;=5,IFERROR(VLOOKUP(AM216,Equip!$A:$N,13,FALSE),0)&lt;=9),INT(VLOOKUP(AM216,Equip!$A:$N,6,FALSE)*SQRT(AQ216)),0)</f>
        <v>0</v>
      </c>
      <c r="AW216">
        <f t="shared" si="564"/>
        <v>0</v>
      </c>
      <c r="AX216">
        <f t="shared" si="565"/>
        <v>515</v>
      </c>
    </row>
    <row r="217" spans="1:50">
      <c r="A217">
        <v>83</v>
      </c>
      <c r="B217" t="s">
        <v>817</v>
      </c>
      <c r="C217" t="s">
        <v>817</v>
      </c>
      <c r="D217">
        <v>0</v>
      </c>
      <c r="E217">
        <v>1320</v>
      </c>
      <c r="F217">
        <v>760</v>
      </c>
      <c r="G217">
        <v>83</v>
      </c>
      <c r="H217">
        <v>1</v>
      </c>
      <c r="I217">
        <v>1</v>
      </c>
      <c r="J217">
        <v>0</v>
      </c>
      <c r="K217">
        <v>1</v>
      </c>
      <c r="L217">
        <v>1</v>
      </c>
      <c r="M217">
        <v>16</v>
      </c>
      <c r="N217">
        <v>16</v>
      </c>
      <c r="O217">
        <v>10</v>
      </c>
      <c r="P217">
        <v>6</v>
      </c>
      <c r="Q217">
        <v>24</v>
      </c>
      <c r="R217">
        <v>43</v>
      </c>
      <c r="S217">
        <v>9</v>
      </c>
      <c r="T217">
        <v>21</v>
      </c>
      <c r="U217">
        <v>10</v>
      </c>
      <c r="V217">
        <v>5</v>
      </c>
      <c r="W217">
        <v>1</v>
      </c>
      <c r="X217">
        <v>10</v>
      </c>
      <c r="Y217">
        <v>0</v>
      </c>
      <c r="Z217">
        <v>15</v>
      </c>
      <c r="AA217">
        <v>20</v>
      </c>
      <c r="AB217">
        <v>29</v>
      </c>
      <c r="AC217">
        <v>69</v>
      </c>
      <c r="AD217">
        <v>39</v>
      </c>
      <c r="AE217">
        <v>19</v>
      </c>
      <c r="AF217">
        <v>49</v>
      </c>
      <c r="AG217">
        <v>79</v>
      </c>
      <c r="AH217">
        <v>49</v>
      </c>
      <c r="AI217">
        <v>19</v>
      </c>
      <c r="AJ217">
        <v>2</v>
      </c>
      <c r="AK217">
        <v>0</v>
      </c>
      <c r="AL217">
        <v>-1</v>
      </c>
      <c r="AM217">
        <v>-1</v>
      </c>
      <c r="AN217">
        <v>0</v>
      </c>
      <c r="AO217">
        <v>0</v>
      </c>
      <c r="AP217">
        <v>0</v>
      </c>
      <c r="AQ217">
        <v>0</v>
      </c>
      <c r="AR217">
        <f t="shared" si="575"/>
        <v>0</v>
      </c>
      <c r="AS217">
        <f>IF(AND(IFERROR(VLOOKUP(AJ217,Equip!$A:$N,13,FALSE),0)&gt;=5,IFERROR(VLOOKUP(AJ217,Equip!$A:$N,13,FALSE),0)&lt;=9),INT(VLOOKUP(AJ217,Equip!$A:$N,6,FALSE)*SQRT(AN217)),0)</f>
        <v>0</v>
      </c>
      <c r="AT217">
        <f>IF(AND(IFERROR(VLOOKUP(AK217,Equip!$A:$N,13,FALSE),0)&gt;=5,IFERROR(VLOOKUP(AK217,Equip!$A:$N,13,FALSE),0)&lt;=9),INT(VLOOKUP(AK217,Equip!$A:$N,6,FALSE)*SQRT(AO217)),0)</f>
        <v>0</v>
      </c>
      <c r="AU217">
        <f>IF(AND(IFERROR(VLOOKUP(AL217,Equip!$A:$N,13,FALSE),0)&gt;=5,IFERROR(VLOOKUP(AL217,Equip!$A:$N,13,FALSE),0)&lt;=9),INT(VLOOKUP(AL217,Equip!$A:$N,6,FALSE)*SQRT(AP217)),0)</f>
        <v>0</v>
      </c>
      <c r="AV217">
        <f>IF(AND(IFERROR(VLOOKUP(AM217,Equip!$A:$N,13,FALSE),0)&gt;=5,IFERROR(VLOOKUP(AM217,Equip!$A:$N,13,FALSE),0)&lt;=9),INT(VLOOKUP(AM217,Equip!$A:$N,6,FALSE)*SQRT(AQ217)),0)</f>
        <v>0</v>
      </c>
      <c r="AW217">
        <f t="shared" si="564"/>
        <v>0</v>
      </c>
      <c r="AX217">
        <f t="shared" si="565"/>
        <v>319</v>
      </c>
    </row>
    <row r="218" spans="1:50">
      <c r="A218">
        <v>83</v>
      </c>
      <c r="B218" t="s">
        <v>817</v>
      </c>
      <c r="C218" t="s">
        <v>817</v>
      </c>
      <c r="D218">
        <v>1</v>
      </c>
      <c r="E218">
        <f>E217</f>
        <v>1320</v>
      </c>
      <c r="F218">
        <f t="shared" ref="F218" si="635">F217</f>
        <v>760</v>
      </c>
      <c r="G218">
        <f t="shared" ref="G218" si="636">G217</f>
        <v>83</v>
      </c>
      <c r="H218">
        <f t="shared" ref="H218" si="637">H217</f>
        <v>1</v>
      </c>
      <c r="I218">
        <f t="shared" ref="I218" si="638">I217</f>
        <v>1</v>
      </c>
      <c r="J218">
        <f t="shared" ref="J218" si="639">J217</f>
        <v>0</v>
      </c>
      <c r="K218">
        <v>1</v>
      </c>
      <c r="L218">
        <v>1</v>
      </c>
      <c r="M218">
        <v>30</v>
      </c>
      <c r="N218">
        <v>30</v>
      </c>
      <c r="O218">
        <v>18</v>
      </c>
      <c r="P218">
        <v>20</v>
      </c>
      <c r="Q218">
        <v>37</v>
      </c>
      <c r="R218">
        <v>53</v>
      </c>
      <c r="S218">
        <v>21</v>
      </c>
      <c r="T218">
        <v>31</v>
      </c>
      <c r="U218">
        <f t="shared" ref="U218" si="640">U217</f>
        <v>10</v>
      </c>
      <c r="V218">
        <v>13</v>
      </c>
      <c r="W218">
        <f t="shared" ref="W218" si="641">W217</f>
        <v>1</v>
      </c>
      <c r="X218">
        <v>12</v>
      </c>
      <c r="Y218">
        <f t="shared" ref="Y218" si="642">Y217</f>
        <v>0</v>
      </c>
      <c r="Z218">
        <v>15</v>
      </c>
      <c r="AA218">
        <v>20</v>
      </c>
      <c r="AB218">
        <v>49</v>
      </c>
      <c r="AC218">
        <v>79</v>
      </c>
      <c r="AD218">
        <v>49</v>
      </c>
      <c r="AE218">
        <v>49</v>
      </c>
      <c r="AF218">
        <v>59</v>
      </c>
      <c r="AG218">
        <v>89</v>
      </c>
      <c r="AH218">
        <v>59</v>
      </c>
      <c r="AI218">
        <v>39</v>
      </c>
      <c r="AJ218">
        <v>3</v>
      </c>
      <c r="AK218">
        <v>15</v>
      </c>
      <c r="AL218">
        <v>0</v>
      </c>
      <c r="AM218">
        <v>-1</v>
      </c>
      <c r="AN218">
        <v>0</v>
      </c>
      <c r="AO218">
        <v>0</v>
      </c>
      <c r="AP218">
        <v>0</v>
      </c>
      <c r="AQ218">
        <v>0</v>
      </c>
      <c r="AR218">
        <f t="shared" si="575"/>
        <v>0</v>
      </c>
      <c r="AS218">
        <f>IF(AND(IFERROR(VLOOKUP(AJ218,Equip!$A:$N,13,FALSE),0)&gt;=5,IFERROR(VLOOKUP(AJ218,Equip!$A:$N,13,FALSE),0)&lt;=9),INT(VLOOKUP(AJ218,Equip!$A:$N,6,FALSE)*SQRT(AN218)),0)</f>
        <v>0</v>
      </c>
      <c r="AT218">
        <f>IF(AND(IFERROR(VLOOKUP(AK218,Equip!$A:$N,13,FALSE),0)&gt;=5,IFERROR(VLOOKUP(AK218,Equip!$A:$N,13,FALSE),0)&lt;=9),INT(VLOOKUP(AK218,Equip!$A:$N,6,FALSE)*SQRT(AO218)),0)</f>
        <v>0</v>
      </c>
      <c r="AU218">
        <f>IF(AND(IFERROR(VLOOKUP(AL218,Equip!$A:$N,13,FALSE),0)&gt;=5,IFERROR(VLOOKUP(AL218,Equip!$A:$N,13,FALSE),0)&lt;=9),INT(VLOOKUP(AL218,Equip!$A:$N,6,FALSE)*SQRT(AP218)),0)</f>
        <v>0</v>
      </c>
      <c r="AV218">
        <f>IF(AND(IFERROR(VLOOKUP(AM218,Equip!$A:$N,13,FALSE),0)&gt;=5,IFERROR(VLOOKUP(AM218,Equip!$A:$N,13,FALSE),0)&lt;=9),INT(VLOOKUP(AM218,Equip!$A:$N,6,FALSE)*SQRT(AQ218)),0)</f>
        <v>0</v>
      </c>
      <c r="AW218">
        <f t="shared" si="564"/>
        <v>0</v>
      </c>
      <c r="AX218">
        <f t="shared" si="565"/>
        <v>443</v>
      </c>
    </row>
    <row r="219" spans="1:50">
      <c r="A219">
        <v>84</v>
      </c>
      <c r="B219" t="s">
        <v>818</v>
      </c>
      <c r="C219" t="s">
        <v>818</v>
      </c>
      <c r="D219">
        <v>0</v>
      </c>
      <c r="E219">
        <v>1320</v>
      </c>
      <c r="F219">
        <v>760</v>
      </c>
      <c r="G219">
        <v>84</v>
      </c>
      <c r="H219">
        <v>1</v>
      </c>
      <c r="I219">
        <v>1</v>
      </c>
      <c r="J219">
        <v>4</v>
      </c>
      <c r="K219">
        <v>1</v>
      </c>
      <c r="L219">
        <v>1</v>
      </c>
      <c r="M219">
        <v>16</v>
      </c>
      <c r="N219">
        <v>16</v>
      </c>
      <c r="O219">
        <v>10</v>
      </c>
      <c r="P219">
        <v>6</v>
      </c>
      <c r="Q219">
        <v>24</v>
      </c>
      <c r="R219">
        <v>43</v>
      </c>
      <c r="S219">
        <v>9</v>
      </c>
      <c r="T219">
        <v>21</v>
      </c>
      <c r="U219">
        <v>10</v>
      </c>
      <c r="V219">
        <v>5</v>
      </c>
      <c r="W219">
        <v>1</v>
      </c>
      <c r="X219">
        <v>12</v>
      </c>
      <c r="Y219">
        <v>0</v>
      </c>
      <c r="Z219">
        <v>15</v>
      </c>
      <c r="AA219">
        <v>20</v>
      </c>
      <c r="AB219">
        <v>29</v>
      </c>
      <c r="AC219">
        <v>79</v>
      </c>
      <c r="AD219">
        <v>39</v>
      </c>
      <c r="AE219">
        <v>19</v>
      </c>
      <c r="AF219">
        <v>49</v>
      </c>
      <c r="AG219">
        <v>79</v>
      </c>
      <c r="AH219">
        <v>49</v>
      </c>
      <c r="AI219">
        <v>19</v>
      </c>
      <c r="AJ219">
        <v>2</v>
      </c>
      <c r="AK219">
        <v>14</v>
      </c>
      <c r="AL219">
        <v>-1</v>
      </c>
      <c r="AM219">
        <v>-1</v>
      </c>
      <c r="AN219">
        <v>0</v>
      </c>
      <c r="AO219">
        <v>0</v>
      </c>
      <c r="AP219">
        <v>0</v>
      </c>
      <c r="AQ219">
        <v>0</v>
      </c>
      <c r="AR219">
        <f t="shared" si="575"/>
        <v>0</v>
      </c>
      <c r="AS219">
        <f>IF(AND(IFERROR(VLOOKUP(AJ219,Equip!$A:$N,13,FALSE),0)&gt;=5,IFERROR(VLOOKUP(AJ219,Equip!$A:$N,13,FALSE),0)&lt;=9),INT(VLOOKUP(AJ219,Equip!$A:$N,6,FALSE)*SQRT(AN219)),0)</f>
        <v>0</v>
      </c>
      <c r="AT219">
        <f>IF(AND(IFERROR(VLOOKUP(AK219,Equip!$A:$N,13,FALSE),0)&gt;=5,IFERROR(VLOOKUP(AK219,Equip!$A:$N,13,FALSE),0)&lt;=9),INT(VLOOKUP(AK219,Equip!$A:$N,6,FALSE)*SQRT(AO219)),0)</f>
        <v>0</v>
      </c>
      <c r="AU219">
        <f>IF(AND(IFERROR(VLOOKUP(AL219,Equip!$A:$N,13,FALSE),0)&gt;=5,IFERROR(VLOOKUP(AL219,Equip!$A:$N,13,FALSE),0)&lt;=9),INT(VLOOKUP(AL219,Equip!$A:$N,6,FALSE)*SQRT(AP219)),0)</f>
        <v>0</v>
      </c>
      <c r="AV219">
        <f>IF(AND(IFERROR(VLOOKUP(AM219,Equip!$A:$N,13,FALSE),0)&gt;=5,IFERROR(VLOOKUP(AM219,Equip!$A:$N,13,FALSE),0)&lt;=9),INT(VLOOKUP(AM219,Equip!$A:$N,6,FALSE)*SQRT(AQ219)),0)</f>
        <v>0</v>
      </c>
      <c r="AW219">
        <f t="shared" si="564"/>
        <v>0</v>
      </c>
      <c r="AX219">
        <f t="shared" si="565"/>
        <v>329</v>
      </c>
    </row>
    <row r="220" spans="1:50">
      <c r="A220">
        <v>84</v>
      </c>
      <c r="B220" t="s">
        <v>818</v>
      </c>
      <c r="C220" t="s">
        <v>818</v>
      </c>
      <c r="D220">
        <v>1</v>
      </c>
      <c r="E220">
        <f>E219</f>
        <v>1320</v>
      </c>
      <c r="F220">
        <f t="shared" ref="F220" si="643">F219</f>
        <v>760</v>
      </c>
      <c r="G220">
        <f t="shared" ref="G220" si="644">G219</f>
        <v>84</v>
      </c>
      <c r="H220">
        <f t="shared" ref="H220" si="645">H219</f>
        <v>1</v>
      </c>
      <c r="I220">
        <f t="shared" ref="I220" si="646">I219</f>
        <v>1</v>
      </c>
      <c r="J220">
        <f t="shared" ref="J220" si="647">J219</f>
        <v>4</v>
      </c>
      <c r="K220">
        <v>1</v>
      </c>
      <c r="L220">
        <v>1</v>
      </c>
      <c r="M220">
        <v>30</v>
      </c>
      <c r="N220">
        <v>30</v>
      </c>
      <c r="O220">
        <v>18</v>
      </c>
      <c r="P220">
        <v>17</v>
      </c>
      <c r="Q220">
        <v>33</v>
      </c>
      <c r="R220">
        <v>53</v>
      </c>
      <c r="S220">
        <v>18</v>
      </c>
      <c r="T220">
        <v>31</v>
      </c>
      <c r="U220">
        <f t="shared" ref="U220" si="648">U219</f>
        <v>10</v>
      </c>
      <c r="V220">
        <v>13</v>
      </c>
      <c r="W220">
        <f t="shared" ref="W220" si="649">W219</f>
        <v>1</v>
      </c>
      <c r="X220">
        <v>12</v>
      </c>
      <c r="Y220">
        <f t="shared" ref="Y220" si="650">Y219</f>
        <v>0</v>
      </c>
      <c r="Z220">
        <v>15</v>
      </c>
      <c r="AA220">
        <v>20</v>
      </c>
      <c r="AB220">
        <v>49</v>
      </c>
      <c r="AC220">
        <v>79</v>
      </c>
      <c r="AD220">
        <v>49</v>
      </c>
      <c r="AE220">
        <v>49</v>
      </c>
      <c r="AF220">
        <v>59</v>
      </c>
      <c r="AG220">
        <v>89</v>
      </c>
      <c r="AH220">
        <v>59</v>
      </c>
      <c r="AI220">
        <v>39</v>
      </c>
      <c r="AJ220">
        <v>3</v>
      </c>
      <c r="AK220">
        <v>15</v>
      </c>
      <c r="AL220">
        <v>0</v>
      </c>
      <c r="AM220">
        <v>-1</v>
      </c>
      <c r="AN220">
        <v>0</v>
      </c>
      <c r="AO220">
        <v>0</v>
      </c>
      <c r="AP220">
        <v>0</v>
      </c>
      <c r="AQ220">
        <v>0</v>
      </c>
      <c r="AR220">
        <f t="shared" si="575"/>
        <v>0</v>
      </c>
      <c r="AS220">
        <f>IF(AND(IFERROR(VLOOKUP(AJ220,Equip!$A:$N,13,FALSE),0)&gt;=5,IFERROR(VLOOKUP(AJ220,Equip!$A:$N,13,FALSE),0)&lt;=9),INT(VLOOKUP(AJ220,Equip!$A:$N,6,FALSE)*SQRT(AN220)),0)</f>
        <v>0</v>
      </c>
      <c r="AT220">
        <f>IF(AND(IFERROR(VLOOKUP(AK220,Equip!$A:$N,13,FALSE),0)&gt;=5,IFERROR(VLOOKUP(AK220,Equip!$A:$N,13,FALSE),0)&lt;=9),INT(VLOOKUP(AK220,Equip!$A:$N,6,FALSE)*SQRT(AO220)),0)</f>
        <v>0</v>
      </c>
      <c r="AU220">
        <f>IF(AND(IFERROR(VLOOKUP(AL220,Equip!$A:$N,13,FALSE),0)&gt;=5,IFERROR(VLOOKUP(AL220,Equip!$A:$N,13,FALSE),0)&lt;=9),INT(VLOOKUP(AL220,Equip!$A:$N,6,FALSE)*SQRT(AP220)),0)</f>
        <v>0</v>
      </c>
      <c r="AV220">
        <f>IF(AND(IFERROR(VLOOKUP(AM220,Equip!$A:$N,13,FALSE),0)&gt;=5,IFERROR(VLOOKUP(AM220,Equip!$A:$N,13,FALSE),0)&lt;=9),INT(VLOOKUP(AM220,Equip!$A:$N,6,FALSE)*SQRT(AQ220)),0)</f>
        <v>0</v>
      </c>
      <c r="AW220">
        <f t="shared" si="564"/>
        <v>0</v>
      </c>
      <c r="AX220">
        <f t="shared" si="565"/>
        <v>443</v>
      </c>
    </row>
    <row r="221" spans="1:50">
      <c r="A221">
        <v>85</v>
      </c>
      <c r="B221" t="s">
        <v>819</v>
      </c>
      <c r="C221" t="s">
        <v>819</v>
      </c>
      <c r="D221">
        <v>0</v>
      </c>
      <c r="E221">
        <v>1320</v>
      </c>
      <c r="F221">
        <v>760</v>
      </c>
      <c r="G221">
        <v>85</v>
      </c>
      <c r="H221">
        <v>0</v>
      </c>
      <c r="I221">
        <v>1</v>
      </c>
      <c r="J221">
        <v>0</v>
      </c>
      <c r="K221">
        <v>1</v>
      </c>
      <c r="L221">
        <v>1</v>
      </c>
      <c r="M221">
        <v>16</v>
      </c>
      <c r="N221">
        <v>16</v>
      </c>
      <c r="O221">
        <v>10</v>
      </c>
      <c r="P221">
        <v>6</v>
      </c>
      <c r="Q221">
        <v>24</v>
      </c>
      <c r="R221">
        <v>43</v>
      </c>
      <c r="S221">
        <v>12</v>
      </c>
      <c r="T221">
        <v>21</v>
      </c>
      <c r="U221">
        <v>10</v>
      </c>
      <c r="V221">
        <v>5</v>
      </c>
      <c r="W221">
        <v>1</v>
      </c>
      <c r="X221">
        <v>10</v>
      </c>
      <c r="Y221">
        <v>0</v>
      </c>
      <c r="Z221">
        <v>15</v>
      </c>
      <c r="AA221">
        <v>20</v>
      </c>
      <c r="AB221">
        <v>29</v>
      </c>
      <c r="AC221">
        <v>79</v>
      </c>
      <c r="AD221">
        <v>39</v>
      </c>
      <c r="AE221">
        <v>19</v>
      </c>
      <c r="AF221">
        <v>49</v>
      </c>
      <c r="AG221">
        <v>79</v>
      </c>
      <c r="AH221">
        <v>49</v>
      </c>
      <c r="AI221">
        <v>19</v>
      </c>
      <c r="AJ221">
        <v>2</v>
      </c>
      <c r="AK221">
        <v>14</v>
      </c>
      <c r="AL221">
        <v>-1</v>
      </c>
      <c r="AM221">
        <v>-1</v>
      </c>
      <c r="AN221">
        <v>0</v>
      </c>
      <c r="AO221">
        <v>0</v>
      </c>
      <c r="AP221">
        <v>0</v>
      </c>
      <c r="AQ221">
        <v>0</v>
      </c>
      <c r="AR221">
        <f t="shared" si="575"/>
        <v>0</v>
      </c>
      <c r="AS221">
        <f>IF(AND(IFERROR(VLOOKUP(AJ221,Equip!$A:$N,13,FALSE),0)&gt;=5,IFERROR(VLOOKUP(AJ221,Equip!$A:$N,13,FALSE),0)&lt;=9),INT(VLOOKUP(AJ221,Equip!$A:$N,6,FALSE)*SQRT(AN221)),0)</f>
        <v>0</v>
      </c>
      <c r="AT221">
        <f>IF(AND(IFERROR(VLOOKUP(AK221,Equip!$A:$N,13,FALSE),0)&gt;=5,IFERROR(VLOOKUP(AK221,Equip!$A:$N,13,FALSE),0)&lt;=9),INT(VLOOKUP(AK221,Equip!$A:$N,6,FALSE)*SQRT(AO221)),0)</f>
        <v>0</v>
      </c>
      <c r="AU221">
        <f>IF(AND(IFERROR(VLOOKUP(AL221,Equip!$A:$N,13,FALSE),0)&gt;=5,IFERROR(VLOOKUP(AL221,Equip!$A:$N,13,FALSE),0)&lt;=9),INT(VLOOKUP(AL221,Equip!$A:$N,6,FALSE)*SQRT(AP221)),0)</f>
        <v>0</v>
      </c>
      <c r="AV221">
        <f>IF(AND(IFERROR(VLOOKUP(AM221,Equip!$A:$N,13,FALSE),0)&gt;=5,IFERROR(VLOOKUP(AM221,Equip!$A:$N,13,FALSE),0)&lt;=9),INT(VLOOKUP(AM221,Equip!$A:$N,6,FALSE)*SQRT(AQ221)),0)</f>
        <v>0</v>
      </c>
      <c r="AW221">
        <f t="shared" si="564"/>
        <v>0</v>
      </c>
      <c r="AX221">
        <f t="shared" si="565"/>
        <v>329</v>
      </c>
    </row>
    <row r="222" spans="1:50">
      <c r="A222">
        <v>85</v>
      </c>
      <c r="B222" t="s">
        <v>819</v>
      </c>
      <c r="C222" t="s">
        <v>819</v>
      </c>
      <c r="D222">
        <v>1</v>
      </c>
      <c r="E222">
        <f t="shared" ref="E222:E224" si="651">E221</f>
        <v>1320</v>
      </c>
      <c r="F222">
        <f t="shared" ref="F222:F224" si="652">F221</f>
        <v>760</v>
      </c>
      <c r="G222">
        <f t="shared" ref="G222:G224" si="653">G221</f>
        <v>85</v>
      </c>
      <c r="H222">
        <f t="shared" ref="H222" si="654">H221</f>
        <v>0</v>
      </c>
      <c r="I222">
        <f t="shared" ref="I222:I224" si="655">I221</f>
        <v>1</v>
      </c>
      <c r="J222">
        <f t="shared" ref="J222:J224" si="656">J221</f>
        <v>0</v>
      </c>
      <c r="K222">
        <v>1</v>
      </c>
      <c r="L222">
        <v>1</v>
      </c>
      <c r="M222">
        <v>31</v>
      </c>
      <c r="N222">
        <v>31</v>
      </c>
      <c r="O222">
        <v>18</v>
      </c>
      <c r="P222">
        <v>17</v>
      </c>
      <c r="Q222">
        <v>33</v>
      </c>
      <c r="R222">
        <v>54</v>
      </c>
      <c r="S222">
        <v>19</v>
      </c>
      <c r="T222">
        <v>31</v>
      </c>
      <c r="U222">
        <f t="shared" ref="U222:U224" si="657">U221</f>
        <v>10</v>
      </c>
      <c r="V222">
        <v>14</v>
      </c>
      <c r="W222">
        <f t="shared" ref="W222:W224" si="658">W221</f>
        <v>1</v>
      </c>
      <c r="X222">
        <v>12</v>
      </c>
      <c r="Y222">
        <f t="shared" ref="Y222:Y224" si="659">Y221</f>
        <v>0</v>
      </c>
      <c r="Z222">
        <v>15</v>
      </c>
      <c r="AA222">
        <v>20</v>
      </c>
      <c r="AB222">
        <v>49</v>
      </c>
      <c r="AC222">
        <v>79</v>
      </c>
      <c r="AD222">
        <v>49</v>
      </c>
      <c r="AE222">
        <v>49</v>
      </c>
      <c r="AF222">
        <v>59</v>
      </c>
      <c r="AG222">
        <v>89</v>
      </c>
      <c r="AH222">
        <v>59</v>
      </c>
      <c r="AI222">
        <v>39</v>
      </c>
      <c r="AJ222">
        <v>3</v>
      </c>
      <c r="AK222">
        <v>15</v>
      </c>
      <c r="AL222">
        <v>0</v>
      </c>
      <c r="AM222">
        <v>-1</v>
      </c>
      <c r="AN222">
        <v>0</v>
      </c>
      <c r="AO222">
        <v>0</v>
      </c>
      <c r="AP222">
        <v>0</v>
      </c>
      <c r="AQ222">
        <v>0</v>
      </c>
      <c r="AR222">
        <f t="shared" si="575"/>
        <v>0</v>
      </c>
      <c r="AS222">
        <f>IF(AND(IFERROR(VLOOKUP(AJ222,Equip!$A:$N,13,FALSE),0)&gt;=5,IFERROR(VLOOKUP(AJ222,Equip!$A:$N,13,FALSE),0)&lt;=9),INT(VLOOKUP(AJ222,Equip!$A:$N,6,FALSE)*SQRT(AN222)),0)</f>
        <v>0</v>
      </c>
      <c r="AT222">
        <f>IF(AND(IFERROR(VLOOKUP(AK222,Equip!$A:$N,13,FALSE),0)&gt;=5,IFERROR(VLOOKUP(AK222,Equip!$A:$N,13,FALSE),0)&lt;=9),INT(VLOOKUP(AK222,Equip!$A:$N,6,FALSE)*SQRT(AO222)),0)</f>
        <v>0</v>
      </c>
      <c r="AU222">
        <f>IF(AND(IFERROR(VLOOKUP(AL222,Equip!$A:$N,13,FALSE),0)&gt;=5,IFERROR(VLOOKUP(AL222,Equip!$A:$N,13,FALSE),0)&lt;=9),INT(VLOOKUP(AL222,Equip!$A:$N,6,FALSE)*SQRT(AP222)),0)</f>
        <v>0</v>
      </c>
      <c r="AV222">
        <f>IF(AND(IFERROR(VLOOKUP(AM222,Equip!$A:$N,13,FALSE),0)&gt;=5,IFERROR(VLOOKUP(AM222,Equip!$A:$N,13,FALSE),0)&lt;=9),INT(VLOOKUP(AM222,Equip!$A:$N,6,FALSE)*SQRT(AQ222)),0)</f>
        <v>0</v>
      </c>
      <c r="AW222">
        <f t="shared" si="564"/>
        <v>0</v>
      </c>
      <c r="AX222">
        <f t="shared" si="565"/>
        <v>444</v>
      </c>
    </row>
    <row r="223" spans="1:50">
      <c r="A223">
        <v>85</v>
      </c>
      <c r="B223" t="s">
        <v>819</v>
      </c>
      <c r="C223" t="s">
        <v>819</v>
      </c>
      <c r="D223">
        <v>2</v>
      </c>
      <c r="E223">
        <f t="shared" si="651"/>
        <v>1320</v>
      </c>
      <c r="F223">
        <f t="shared" si="652"/>
        <v>760</v>
      </c>
      <c r="G223">
        <f t="shared" si="653"/>
        <v>85</v>
      </c>
      <c r="H223">
        <v>1</v>
      </c>
      <c r="I223">
        <f t="shared" si="655"/>
        <v>1</v>
      </c>
      <c r="J223">
        <f t="shared" si="656"/>
        <v>0</v>
      </c>
      <c r="K223">
        <v>1</v>
      </c>
      <c r="L223">
        <v>1</v>
      </c>
      <c r="M223">
        <v>31</v>
      </c>
      <c r="N223">
        <v>31</v>
      </c>
      <c r="O223">
        <v>18</v>
      </c>
      <c r="P223">
        <v>17</v>
      </c>
      <c r="Q223">
        <v>36</v>
      </c>
      <c r="R223">
        <v>49</v>
      </c>
      <c r="S223">
        <v>22</v>
      </c>
      <c r="T223">
        <v>31</v>
      </c>
      <c r="U223">
        <f t="shared" si="657"/>
        <v>10</v>
      </c>
      <c r="V223">
        <v>14</v>
      </c>
      <c r="W223">
        <f t="shared" si="658"/>
        <v>1</v>
      </c>
      <c r="X223">
        <v>17</v>
      </c>
      <c r="Y223">
        <f t="shared" si="659"/>
        <v>0</v>
      </c>
      <c r="Z223">
        <v>15</v>
      </c>
      <c r="AA223">
        <v>20</v>
      </c>
      <c r="AB223">
        <v>68</v>
      </c>
      <c r="AC223">
        <v>92</v>
      </c>
      <c r="AD223">
        <v>60</v>
      </c>
      <c r="AE223">
        <v>52</v>
      </c>
      <c r="AF223">
        <v>70</v>
      </c>
      <c r="AG223">
        <v>90</v>
      </c>
      <c r="AH223">
        <v>59</v>
      </c>
      <c r="AI223">
        <v>56</v>
      </c>
      <c r="AJ223">
        <v>0</v>
      </c>
      <c r="AK223">
        <v>0</v>
      </c>
      <c r="AL223">
        <v>0</v>
      </c>
      <c r="AM223">
        <v>-1</v>
      </c>
      <c r="AN223">
        <v>0</v>
      </c>
      <c r="AO223">
        <v>0</v>
      </c>
      <c r="AP223">
        <v>0</v>
      </c>
      <c r="AQ223">
        <v>0</v>
      </c>
      <c r="AR223">
        <f t="shared" si="575"/>
        <v>0</v>
      </c>
      <c r="AS223">
        <f>IF(AND(IFERROR(VLOOKUP(AJ223,Equip!$A:$N,13,FALSE),0)&gt;=5,IFERROR(VLOOKUP(AJ223,Equip!$A:$N,13,FALSE),0)&lt;=9),INT(VLOOKUP(AJ223,Equip!$A:$N,6,FALSE)*SQRT(AN223)),0)</f>
        <v>0</v>
      </c>
      <c r="AT223">
        <f>IF(AND(IFERROR(VLOOKUP(AK223,Equip!$A:$N,13,FALSE),0)&gt;=5,IFERROR(VLOOKUP(AK223,Equip!$A:$N,13,FALSE),0)&lt;=9),INT(VLOOKUP(AK223,Equip!$A:$N,6,FALSE)*SQRT(AO223)),0)</f>
        <v>0</v>
      </c>
      <c r="AU223">
        <f>IF(AND(IFERROR(VLOOKUP(AL223,Equip!$A:$N,13,FALSE),0)&gt;=5,IFERROR(VLOOKUP(AL223,Equip!$A:$N,13,FALSE),0)&lt;=9),INT(VLOOKUP(AL223,Equip!$A:$N,6,FALSE)*SQRT(AP223)),0)</f>
        <v>0</v>
      </c>
      <c r="AV223">
        <f>IF(AND(IFERROR(VLOOKUP(AM223,Equip!$A:$N,13,FALSE),0)&gt;=5,IFERROR(VLOOKUP(AM223,Equip!$A:$N,13,FALSE),0)&lt;=9),INT(VLOOKUP(AM223,Equip!$A:$N,6,FALSE)*SQRT(AQ223)),0)</f>
        <v>0</v>
      </c>
      <c r="AW223">
        <f t="shared" si="564"/>
        <v>0</v>
      </c>
      <c r="AX223">
        <f t="shared" si="565"/>
        <v>508</v>
      </c>
    </row>
    <row r="224" spans="1:50">
      <c r="A224">
        <v>85</v>
      </c>
      <c r="B224" t="s">
        <v>819</v>
      </c>
      <c r="C224" t="s">
        <v>819</v>
      </c>
      <c r="D224">
        <v>3</v>
      </c>
      <c r="E224">
        <f t="shared" si="651"/>
        <v>1320</v>
      </c>
      <c r="F224">
        <f t="shared" si="652"/>
        <v>760</v>
      </c>
      <c r="G224">
        <f t="shared" si="653"/>
        <v>85</v>
      </c>
      <c r="H224">
        <v>1</v>
      </c>
      <c r="I224">
        <f t="shared" si="655"/>
        <v>1</v>
      </c>
      <c r="J224">
        <f t="shared" si="656"/>
        <v>0</v>
      </c>
      <c r="K224">
        <v>1</v>
      </c>
      <c r="L224">
        <v>1</v>
      </c>
      <c r="M224">
        <v>34</v>
      </c>
      <c r="N224">
        <v>34</v>
      </c>
      <c r="O224">
        <v>12</v>
      </c>
      <c r="P224">
        <v>17</v>
      </c>
      <c r="Q224">
        <v>36</v>
      </c>
      <c r="R224">
        <v>47</v>
      </c>
      <c r="S224">
        <v>30</v>
      </c>
      <c r="T224">
        <v>44</v>
      </c>
      <c r="U224">
        <f t="shared" si="657"/>
        <v>10</v>
      </c>
      <c r="V224">
        <v>14</v>
      </c>
      <c r="W224">
        <f t="shared" si="658"/>
        <v>1</v>
      </c>
      <c r="X224">
        <v>17</v>
      </c>
      <c r="Y224">
        <f t="shared" si="659"/>
        <v>0</v>
      </c>
      <c r="Z224">
        <v>15</v>
      </c>
      <c r="AA224">
        <v>20</v>
      </c>
      <c r="AB224">
        <v>52</v>
      </c>
      <c r="AC224">
        <v>86</v>
      </c>
      <c r="AD224">
        <v>74</v>
      </c>
      <c r="AE224">
        <v>55</v>
      </c>
      <c r="AF224">
        <v>70</v>
      </c>
      <c r="AG224">
        <v>88</v>
      </c>
      <c r="AH224">
        <v>89</v>
      </c>
      <c r="AI224">
        <v>55</v>
      </c>
      <c r="AJ224">
        <v>0</v>
      </c>
      <c r="AK224">
        <v>0</v>
      </c>
      <c r="AL224">
        <v>0</v>
      </c>
      <c r="AM224">
        <v>-1</v>
      </c>
      <c r="AN224">
        <v>0</v>
      </c>
      <c r="AO224">
        <v>0</v>
      </c>
      <c r="AP224">
        <v>0</v>
      </c>
      <c r="AQ224">
        <v>0</v>
      </c>
      <c r="AR224">
        <f t="shared" si="575"/>
        <v>0</v>
      </c>
      <c r="AS224">
        <f>IF(AND(IFERROR(VLOOKUP(AJ224,Equip!$A:$N,13,FALSE),0)&gt;=5,IFERROR(VLOOKUP(AJ224,Equip!$A:$N,13,FALSE),0)&lt;=9),INT(VLOOKUP(AJ224,Equip!$A:$N,6,FALSE)*SQRT(AN224)),0)</f>
        <v>0</v>
      </c>
      <c r="AT224">
        <f>IF(AND(IFERROR(VLOOKUP(AK224,Equip!$A:$N,13,FALSE),0)&gt;=5,IFERROR(VLOOKUP(AK224,Equip!$A:$N,13,FALSE),0)&lt;=9),INT(VLOOKUP(AK224,Equip!$A:$N,6,FALSE)*SQRT(AO224)),0)</f>
        <v>0</v>
      </c>
      <c r="AU224">
        <f>IF(AND(IFERROR(VLOOKUP(AL224,Equip!$A:$N,13,FALSE),0)&gt;=5,IFERROR(VLOOKUP(AL224,Equip!$A:$N,13,FALSE),0)&lt;=9),INT(VLOOKUP(AL224,Equip!$A:$N,6,FALSE)*SQRT(AP224)),0)</f>
        <v>0</v>
      </c>
      <c r="AV224">
        <f>IF(AND(IFERROR(VLOOKUP(AM224,Equip!$A:$N,13,FALSE),0)&gt;=5,IFERROR(VLOOKUP(AM224,Equip!$A:$N,13,FALSE),0)&lt;=9),INT(VLOOKUP(AM224,Equip!$A:$N,6,FALSE)*SQRT(AQ224)),0)</f>
        <v>0</v>
      </c>
      <c r="AW224">
        <f t="shared" si="564"/>
        <v>0</v>
      </c>
      <c r="AX224">
        <f t="shared" si="565"/>
        <v>533</v>
      </c>
    </row>
    <row r="225" spans="1:50">
      <c r="A225">
        <v>86</v>
      </c>
      <c r="B225" t="s">
        <v>820</v>
      </c>
      <c r="C225" t="s">
        <v>820</v>
      </c>
      <c r="D225">
        <v>0</v>
      </c>
      <c r="E225">
        <v>1320</v>
      </c>
      <c r="F225">
        <v>760</v>
      </c>
      <c r="G225">
        <v>86</v>
      </c>
      <c r="H225">
        <v>0</v>
      </c>
      <c r="I225">
        <v>1</v>
      </c>
      <c r="J225">
        <v>4</v>
      </c>
      <c r="K225">
        <v>1</v>
      </c>
      <c r="L225">
        <v>1</v>
      </c>
      <c r="M225">
        <v>16</v>
      </c>
      <c r="N225">
        <v>16</v>
      </c>
      <c r="O225">
        <v>10</v>
      </c>
      <c r="P225">
        <v>6</v>
      </c>
      <c r="Q225">
        <v>24</v>
      </c>
      <c r="R225">
        <v>44</v>
      </c>
      <c r="S225">
        <v>9</v>
      </c>
      <c r="T225">
        <v>21</v>
      </c>
      <c r="U225">
        <v>10</v>
      </c>
      <c r="V225">
        <v>5</v>
      </c>
      <c r="W225">
        <v>1</v>
      </c>
      <c r="X225">
        <v>10</v>
      </c>
      <c r="Y225">
        <v>0</v>
      </c>
      <c r="Z225">
        <v>15</v>
      </c>
      <c r="AA225">
        <v>20</v>
      </c>
      <c r="AB225">
        <v>29</v>
      </c>
      <c r="AC225">
        <v>69</v>
      </c>
      <c r="AD225">
        <v>39</v>
      </c>
      <c r="AE225">
        <v>19</v>
      </c>
      <c r="AF225">
        <v>49</v>
      </c>
      <c r="AG225">
        <v>79</v>
      </c>
      <c r="AH225">
        <v>49</v>
      </c>
      <c r="AI225">
        <v>19</v>
      </c>
      <c r="AJ225">
        <v>2</v>
      </c>
      <c r="AK225">
        <v>0</v>
      </c>
      <c r="AL225">
        <v>-1</v>
      </c>
      <c r="AM225">
        <v>-1</v>
      </c>
      <c r="AN225">
        <v>0</v>
      </c>
      <c r="AO225">
        <v>0</v>
      </c>
      <c r="AP225">
        <v>0</v>
      </c>
      <c r="AQ225">
        <v>0</v>
      </c>
      <c r="AR225">
        <f t="shared" si="575"/>
        <v>0</v>
      </c>
      <c r="AS225">
        <f>IF(AND(IFERROR(VLOOKUP(AJ225,Equip!$A:$N,13,FALSE),0)&gt;=5,IFERROR(VLOOKUP(AJ225,Equip!$A:$N,13,FALSE),0)&lt;=9),INT(VLOOKUP(AJ225,Equip!$A:$N,6,FALSE)*SQRT(AN225)),0)</f>
        <v>0</v>
      </c>
      <c r="AT225">
        <f>IF(AND(IFERROR(VLOOKUP(AK225,Equip!$A:$N,13,FALSE),0)&gt;=5,IFERROR(VLOOKUP(AK225,Equip!$A:$N,13,FALSE),0)&lt;=9),INT(VLOOKUP(AK225,Equip!$A:$N,6,FALSE)*SQRT(AO225)),0)</f>
        <v>0</v>
      </c>
      <c r="AU225">
        <f>IF(AND(IFERROR(VLOOKUP(AL225,Equip!$A:$N,13,FALSE),0)&gt;=5,IFERROR(VLOOKUP(AL225,Equip!$A:$N,13,FALSE),0)&lt;=9),INT(VLOOKUP(AL225,Equip!$A:$N,6,FALSE)*SQRT(AP225)),0)</f>
        <v>0</v>
      </c>
      <c r="AV225">
        <f>IF(AND(IFERROR(VLOOKUP(AM225,Equip!$A:$N,13,FALSE),0)&gt;=5,IFERROR(VLOOKUP(AM225,Equip!$A:$N,13,FALSE),0)&lt;=9),INT(VLOOKUP(AM225,Equip!$A:$N,6,FALSE)*SQRT(AQ225)),0)</f>
        <v>0</v>
      </c>
      <c r="AW225">
        <f t="shared" si="564"/>
        <v>0</v>
      </c>
      <c r="AX225">
        <f t="shared" si="565"/>
        <v>319</v>
      </c>
    </row>
    <row r="226" spans="1:50">
      <c r="A226">
        <v>86</v>
      </c>
      <c r="B226" t="s">
        <v>820</v>
      </c>
      <c r="C226" t="s">
        <v>820</v>
      </c>
      <c r="D226">
        <v>1</v>
      </c>
      <c r="E226">
        <f t="shared" ref="E226:E227" si="660">E225</f>
        <v>1320</v>
      </c>
      <c r="F226">
        <f t="shared" ref="F226:F227" si="661">F225</f>
        <v>760</v>
      </c>
      <c r="G226">
        <f t="shared" ref="G226:G227" si="662">G225</f>
        <v>86</v>
      </c>
      <c r="H226">
        <f t="shared" ref="H226:H227" si="663">H225</f>
        <v>0</v>
      </c>
      <c r="I226">
        <f t="shared" ref="I226:I227" si="664">I225</f>
        <v>1</v>
      </c>
      <c r="J226">
        <f t="shared" ref="J226:J227" si="665">J225</f>
        <v>4</v>
      </c>
      <c r="K226">
        <v>1</v>
      </c>
      <c r="L226">
        <v>1</v>
      </c>
      <c r="M226">
        <v>31</v>
      </c>
      <c r="N226">
        <v>31</v>
      </c>
      <c r="O226">
        <v>15</v>
      </c>
      <c r="P226">
        <v>17</v>
      </c>
      <c r="Q226">
        <v>37</v>
      </c>
      <c r="R226">
        <v>55</v>
      </c>
      <c r="S226">
        <v>19</v>
      </c>
      <c r="T226">
        <v>31</v>
      </c>
      <c r="U226">
        <f t="shared" ref="U226:U227" si="666">U225</f>
        <v>10</v>
      </c>
      <c r="V226">
        <v>14</v>
      </c>
      <c r="W226">
        <f t="shared" ref="W226:W227" si="667">W225</f>
        <v>1</v>
      </c>
      <c r="X226">
        <v>12</v>
      </c>
      <c r="Y226">
        <f t="shared" ref="Y226:Y227" si="668">Y225</f>
        <v>0</v>
      </c>
      <c r="Z226">
        <v>15</v>
      </c>
      <c r="AA226">
        <v>20</v>
      </c>
      <c r="AB226">
        <v>49</v>
      </c>
      <c r="AC226">
        <v>79</v>
      </c>
      <c r="AD226">
        <v>49</v>
      </c>
      <c r="AE226">
        <v>49</v>
      </c>
      <c r="AF226">
        <v>59</v>
      </c>
      <c r="AG226">
        <v>89</v>
      </c>
      <c r="AH226">
        <v>59</v>
      </c>
      <c r="AI226">
        <v>39</v>
      </c>
      <c r="AJ226">
        <v>3</v>
      </c>
      <c r="AK226">
        <v>15</v>
      </c>
      <c r="AL226">
        <v>0</v>
      </c>
      <c r="AM226">
        <v>-1</v>
      </c>
      <c r="AN226">
        <v>0</v>
      </c>
      <c r="AO226">
        <v>0</v>
      </c>
      <c r="AP226">
        <v>0</v>
      </c>
      <c r="AQ226">
        <v>0</v>
      </c>
      <c r="AR226">
        <f t="shared" si="575"/>
        <v>0</v>
      </c>
      <c r="AS226">
        <f>IF(AND(IFERROR(VLOOKUP(AJ226,Equip!$A:$N,13,FALSE),0)&gt;=5,IFERROR(VLOOKUP(AJ226,Equip!$A:$N,13,FALSE),0)&lt;=9),INT(VLOOKUP(AJ226,Equip!$A:$N,6,FALSE)*SQRT(AN226)),0)</f>
        <v>0</v>
      </c>
      <c r="AT226">
        <f>IF(AND(IFERROR(VLOOKUP(AK226,Equip!$A:$N,13,FALSE),0)&gt;=5,IFERROR(VLOOKUP(AK226,Equip!$A:$N,13,FALSE),0)&lt;=9),INT(VLOOKUP(AK226,Equip!$A:$N,6,FALSE)*SQRT(AO226)),0)</f>
        <v>0</v>
      </c>
      <c r="AU226">
        <f>IF(AND(IFERROR(VLOOKUP(AL226,Equip!$A:$N,13,FALSE),0)&gt;=5,IFERROR(VLOOKUP(AL226,Equip!$A:$N,13,FALSE),0)&lt;=9),INT(VLOOKUP(AL226,Equip!$A:$N,6,FALSE)*SQRT(AP226)),0)</f>
        <v>0</v>
      </c>
      <c r="AV226">
        <f>IF(AND(IFERROR(VLOOKUP(AM226,Equip!$A:$N,13,FALSE),0)&gt;=5,IFERROR(VLOOKUP(AM226,Equip!$A:$N,13,FALSE),0)&lt;=9),INT(VLOOKUP(AM226,Equip!$A:$N,6,FALSE)*SQRT(AQ226)),0)</f>
        <v>0</v>
      </c>
      <c r="AW226">
        <f t="shared" si="564"/>
        <v>0</v>
      </c>
      <c r="AX226">
        <f t="shared" si="565"/>
        <v>444</v>
      </c>
    </row>
    <row r="227" spans="1:50">
      <c r="A227">
        <v>86</v>
      </c>
      <c r="B227" t="s">
        <v>820</v>
      </c>
      <c r="C227" t="s">
        <v>820</v>
      </c>
      <c r="D227">
        <v>2</v>
      </c>
      <c r="E227">
        <f t="shared" si="660"/>
        <v>1320</v>
      </c>
      <c r="F227">
        <f t="shared" si="661"/>
        <v>760</v>
      </c>
      <c r="G227">
        <f t="shared" si="662"/>
        <v>86</v>
      </c>
      <c r="H227">
        <f t="shared" si="663"/>
        <v>0</v>
      </c>
      <c r="I227">
        <f t="shared" si="664"/>
        <v>1</v>
      </c>
      <c r="J227">
        <f t="shared" si="665"/>
        <v>4</v>
      </c>
      <c r="K227">
        <v>1</v>
      </c>
      <c r="L227">
        <v>1</v>
      </c>
      <c r="M227">
        <v>31</v>
      </c>
      <c r="N227">
        <v>31</v>
      </c>
      <c r="O227">
        <v>17</v>
      </c>
      <c r="P227">
        <v>17</v>
      </c>
      <c r="Q227">
        <v>37</v>
      </c>
      <c r="R227">
        <v>55</v>
      </c>
      <c r="S227">
        <v>20</v>
      </c>
      <c r="T227">
        <v>31</v>
      </c>
      <c r="U227">
        <f t="shared" si="666"/>
        <v>10</v>
      </c>
      <c r="V227">
        <v>14</v>
      </c>
      <c r="W227">
        <f t="shared" si="667"/>
        <v>1</v>
      </c>
      <c r="X227">
        <v>17</v>
      </c>
      <c r="Y227">
        <f t="shared" si="668"/>
        <v>0</v>
      </c>
      <c r="Z227">
        <v>15</v>
      </c>
      <c r="AA227">
        <v>20</v>
      </c>
      <c r="AB227">
        <v>67</v>
      </c>
      <c r="AC227">
        <v>90</v>
      </c>
      <c r="AD227">
        <v>62</v>
      </c>
      <c r="AE227">
        <v>51</v>
      </c>
      <c r="AF227">
        <v>69</v>
      </c>
      <c r="AG227">
        <v>90</v>
      </c>
      <c r="AH227">
        <v>64</v>
      </c>
      <c r="AI227">
        <v>54</v>
      </c>
      <c r="AJ227">
        <v>63</v>
      </c>
      <c r="AK227">
        <v>15</v>
      </c>
      <c r="AL227">
        <v>68</v>
      </c>
      <c r="AM227">
        <v>-1</v>
      </c>
      <c r="AN227">
        <v>0</v>
      </c>
      <c r="AO227">
        <v>0</v>
      </c>
      <c r="AP227">
        <v>0</v>
      </c>
      <c r="AQ227">
        <v>0</v>
      </c>
      <c r="AR227">
        <f t="shared" si="575"/>
        <v>0</v>
      </c>
      <c r="AS227">
        <f>IF(AND(IFERROR(VLOOKUP(AJ227,Equip!$A:$N,13,FALSE),0)&gt;=5,IFERROR(VLOOKUP(AJ227,Equip!$A:$N,13,FALSE),0)&lt;=9),INT(VLOOKUP(AJ227,Equip!$A:$N,6,FALSE)*SQRT(AN227)),0)</f>
        <v>0</v>
      </c>
      <c r="AT227">
        <f>IF(AND(IFERROR(VLOOKUP(AK227,Equip!$A:$N,13,FALSE),0)&gt;=5,IFERROR(VLOOKUP(AK227,Equip!$A:$N,13,FALSE),0)&lt;=9),INT(VLOOKUP(AK227,Equip!$A:$N,6,FALSE)*SQRT(AO227)),0)</f>
        <v>0</v>
      </c>
      <c r="AU227">
        <f>IF(AND(IFERROR(VLOOKUP(AL227,Equip!$A:$N,13,FALSE),0)&gt;=5,IFERROR(VLOOKUP(AL227,Equip!$A:$N,13,FALSE),0)&lt;=9),INT(VLOOKUP(AL227,Equip!$A:$N,6,FALSE)*SQRT(AP227)),0)</f>
        <v>0</v>
      </c>
      <c r="AV227">
        <f>IF(AND(IFERROR(VLOOKUP(AM227,Equip!$A:$N,13,FALSE),0)&gt;=5,IFERROR(VLOOKUP(AM227,Equip!$A:$N,13,FALSE),0)&lt;=9),INT(VLOOKUP(AM227,Equip!$A:$N,6,FALSE)*SQRT(AQ227)),0)</f>
        <v>0</v>
      </c>
      <c r="AW227">
        <f t="shared" si="564"/>
        <v>0</v>
      </c>
      <c r="AX227">
        <f t="shared" si="565"/>
        <v>509</v>
      </c>
    </row>
    <row r="228" spans="1:50">
      <c r="A228">
        <v>87</v>
      </c>
      <c r="B228" t="s">
        <v>821</v>
      </c>
      <c r="C228" t="s">
        <v>821</v>
      </c>
      <c r="D228">
        <v>0</v>
      </c>
      <c r="E228">
        <v>1320</v>
      </c>
      <c r="F228">
        <v>760</v>
      </c>
      <c r="G228">
        <v>87</v>
      </c>
      <c r="H228">
        <v>0</v>
      </c>
      <c r="I228">
        <v>1</v>
      </c>
      <c r="J228">
        <v>9</v>
      </c>
      <c r="K228">
        <v>1</v>
      </c>
      <c r="L228">
        <v>1</v>
      </c>
      <c r="M228">
        <v>16</v>
      </c>
      <c r="N228">
        <v>16</v>
      </c>
      <c r="O228">
        <v>10</v>
      </c>
      <c r="P228">
        <v>6</v>
      </c>
      <c r="Q228">
        <v>24</v>
      </c>
      <c r="R228">
        <v>43</v>
      </c>
      <c r="S228">
        <v>9</v>
      </c>
      <c r="T228">
        <v>21</v>
      </c>
      <c r="U228">
        <v>10</v>
      </c>
      <c r="V228">
        <v>5</v>
      </c>
      <c r="W228">
        <v>1</v>
      </c>
      <c r="X228">
        <v>10</v>
      </c>
      <c r="Y228">
        <v>0</v>
      </c>
      <c r="Z228">
        <v>15</v>
      </c>
      <c r="AA228">
        <v>20</v>
      </c>
      <c r="AB228">
        <v>29</v>
      </c>
      <c r="AC228">
        <v>69</v>
      </c>
      <c r="AD228">
        <v>39</v>
      </c>
      <c r="AE228">
        <v>19</v>
      </c>
      <c r="AF228">
        <v>49</v>
      </c>
      <c r="AG228">
        <v>79</v>
      </c>
      <c r="AH228">
        <v>49</v>
      </c>
      <c r="AI228">
        <v>19</v>
      </c>
      <c r="AJ228">
        <v>2</v>
      </c>
      <c r="AK228">
        <v>0</v>
      </c>
      <c r="AL228">
        <v>-1</v>
      </c>
      <c r="AM228">
        <v>-1</v>
      </c>
      <c r="AN228">
        <v>0</v>
      </c>
      <c r="AO228">
        <v>0</v>
      </c>
      <c r="AP228">
        <v>0</v>
      </c>
      <c r="AQ228">
        <v>0</v>
      </c>
      <c r="AR228">
        <f t="shared" si="575"/>
        <v>0</v>
      </c>
      <c r="AS228">
        <f>IF(AND(IFERROR(VLOOKUP(AJ228,Equip!$A:$N,13,FALSE),0)&gt;=5,IFERROR(VLOOKUP(AJ228,Equip!$A:$N,13,FALSE),0)&lt;=9),INT(VLOOKUP(AJ228,Equip!$A:$N,6,FALSE)*SQRT(AN228)),0)</f>
        <v>0</v>
      </c>
      <c r="AT228">
        <f>IF(AND(IFERROR(VLOOKUP(AK228,Equip!$A:$N,13,FALSE),0)&gt;=5,IFERROR(VLOOKUP(AK228,Equip!$A:$N,13,FALSE),0)&lt;=9),INT(VLOOKUP(AK228,Equip!$A:$N,6,FALSE)*SQRT(AO228)),0)</f>
        <v>0</v>
      </c>
      <c r="AU228">
        <f>IF(AND(IFERROR(VLOOKUP(AL228,Equip!$A:$N,13,FALSE),0)&gt;=5,IFERROR(VLOOKUP(AL228,Equip!$A:$N,13,FALSE),0)&lt;=9),INT(VLOOKUP(AL228,Equip!$A:$N,6,FALSE)*SQRT(AP228)),0)</f>
        <v>0</v>
      </c>
      <c r="AV228">
        <f>IF(AND(IFERROR(VLOOKUP(AM228,Equip!$A:$N,13,FALSE),0)&gt;=5,IFERROR(VLOOKUP(AM228,Equip!$A:$N,13,FALSE),0)&lt;=9),INT(VLOOKUP(AM228,Equip!$A:$N,6,FALSE)*SQRT(AQ228)),0)</f>
        <v>0</v>
      </c>
      <c r="AW228">
        <f t="shared" si="564"/>
        <v>0</v>
      </c>
      <c r="AX228">
        <f t="shared" si="565"/>
        <v>319</v>
      </c>
    </row>
    <row r="229" spans="1:50">
      <c r="A229">
        <v>87</v>
      </c>
      <c r="B229" t="s">
        <v>821</v>
      </c>
      <c r="C229" t="s">
        <v>821</v>
      </c>
      <c r="D229">
        <v>1</v>
      </c>
      <c r="E229">
        <f>E228</f>
        <v>1320</v>
      </c>
      <c r="F229">
        <f t="shared" ref="F229" si="669">F228</f>
        <v>760</v>
      </c>
      <c r="G229">
        <f t="shared" ref="G229" si="670">G228</f>
        <v>87</v>
      </c>
      <c r="H229">
        <f t="shared" ref="H229" si="671">H228</f>
        <v>0</v>
      </c>
      <c r="I229">
        <f t="shared" ref="I229" si="672">I228</f>
        <v>1</v>
      </c>
      <c r="J229">
        <f t="shared" ref="J229" si="673">J228</f>
        <v>9</v>
      </c>
      <c r="K229">
        <v>1</v>
      </c>
      <c r="L229">
        <v>1</v>
      </c>
      <c r="M229">
        <v>31</v>
      </c>
      <c r="N229">
        <v>31</v>
      </c>
      <c r="O229">
        <v>15</v>
      </c>
      <c r="P229">
        <v>20</v>
      </c>
      <c r="Q229">
        <v>37</v>
      </c>
      <c r="R229">
        <v>54</v>
      </c>
      <c r="S229">
        <v>22</v>
      </c>
      <c r="T229">
        <v>31</v>
      </c>
      <c r="U229">
        <f t="shared" ref="U229" si="674">U228</f>
        <v>10</v>
      </c>
      <c r="V229">
        <v>14</v>
      </c>
      <c r="W229">
        <f t="shared" ref="W229" si="675">W228</f>
        <v>1</v>
      </c>
      <c r="X229">
        <v>12</v>
      </c>
      <c r="Y229">
        <f t="shared" ref="Y229" si="676">Y228</f>
        <v>0</v>
      </c>
      <c r="Z229">
        <v>15</v>
      </c>
      <c r="AA229">
        <v>20</v>
      </c>
      <c r="AB229">
        <v>49</v>
      </c>
      <c r="AC229">
        <v>79</v>
      </c>
      <c r="AD229">
        <v>49</v>
      </c>
      <c r="AE229">
        <v>49</v>
      </c>
      <c r="AF229">
        <v>59</v>
      </c>
      <c r="AG229">
        <v>89</v>
      </c>
      <c r="AH229">
        <v>59</v>
      </c>
      <c r="AI229">
        <v>39</v>
      </c>
      <c r="AJ229">
        <v>3</v>
      </c>
      <c r="AK229">
        <v>15</v>
      </c>
      <c r="AL229">
        <v>0</v>
      </c>
      <c r="AM229">
        <v>-1</v>
      </c>
      <c r="AN229">
        <v>0</v>
      </c>
      <c r="AO229">
        <v>0</v>
      </c>
      <c r="AP229">
        <v>0</v>
      </c>
      <c r="AQ229">
        <v>0</v>
      </c>
      <c r="AR229">
        <f t="shared" si="575"/>
        <v>0</v>
      </c>
      <c r="AS229">
        <f>IF(AND(IFERROR(VLOOKUP(AJ229,Equip!$A:$N,13,FALSE),0)&gt;=5,IFERROR(VLOOKUP(AJ229,Equip!$A:$N,13,FALSE),0)&lt;=9),INT(VLOOKUP(AJ229,Equip!$A:$N,6,FALSE)*SQRT(AN229)),0)</f>
        <v>0</v>
      </c>
      <c r="AT229">
        <f>IF(AND(IFERROR(VLOOKUP(AK229,Equip!$A:$N,13,FALSE),0)&gt;=5,IFERROR(VLOOKUP(AK229,Equip!$A:$N,13,FALSE),0)&lt;=9),INT(VLOOKUP(AK229,Equip!$A:$N,6,FALSE)*SQRT(AO229)),0)</f>
        <v>0</v>
      </c>
      <c r="AU229">
        <f>IF(AND(IFERROR(VLOOKUP(AL229,Equip!$A:$N,13,FALSE),0)&gt;=5,IFERROR(VLOOKUP(AL229,Equip!$A:$N,13,FALSE),0)&lt;=9),INT(VLOOKUP(AL229,Equip!$A:$N,6,FALSE)*SQRT(AP229)),0)</f>
        <v>0</v>
      </c>
      <c r="AV229">
        <f>IF(AND(IFERROR(VLOOKUP(AM229,Equip!$A:$N,13,FALSE),0)&gt;=5,IFERROR(VLOOKUP(AM229,Equip!$A:$N,13,FALSE),0)&lt;=9),INT(VLOOKUP(AM229,Equip!$A:$N,6,FALSE)*SQRT(AQ229)),0)</f>
        <v>0</v>
      </c>
      <c r="AW229">
        <f t="shared" si="564"/>
        <v>0</v>
      </c>
      <c r="AX229">
        <f t="shared" si="565"/>
        <v>444</v>
      </c>
    </row>
    <row r="230" spans="1:50">
      <c r="A230">
        <v>88</v>
      </c>
      <c r="B230" t="s">
        <v>822</v>
      </c>
      <c r="C230" t="s">
        <v>822</v>
      </c>
      <c r="D230">
        <v>0</v>
      </c>
      <c r="E230">
        <v>1320</v>
      </c>
      <c r="F230">
        <v>760</v>
      </c>
      <c r="G230">
        <v>88</v>
      </c>
      <c r="H230">
        <v>0</v>
      </c>
      <c r="I230">
        <v>1</v>
      </c>
      <c r="J230">
        <v>12</v>
      </c>
      <c r="K230">
        <v>1</v>
      </c>
      <c r="L230">
        <v>1</v>
      </c>
      <c r="M230">
        <v>16</v>
      </c>
      <c r="N230">
        <v>16</v>
      </c>
      <c r="O230">
        <v>10</v>
      </c>
      <c r="P230">
        <v>6</v>
      </c>
      <c r="Q230">
        <v>24</v>
      </c>
      <c r="R230">
        <v>43</v>
      </c>
      <c r="S230">
        <v>9</v>
      </c>
      <c r="T230">
        <v>21</v>
      </c>
      <c r="U230">
        <v>10</v>
      </c>
      <c r="V230">
        <v>5</v>
      </c>
      <c r="W230">
        <v>1</v>
      </c>
      <c r="X230">
        <v>10</v>
      </c>
      <c r="Y230">
        <v>0</v>
      </c>
      <c r="Z230">
        <v>15</v>
      </c>
      <c r="AA230">
        <v>20</v>
      </c>
      <c r="AB230">
        <v>29</v>
      </c>
      <c r="AC230">
        <v>69</v>
      </c>
      <c r="AD230">
        <v>39</v>
      </c>
      <c r="AE230">
        <v>19</v>
      </c>
      <c r="AF230">
        <v>49</v>
      </c>
      <c r="AG230">
        <v>79</v>
      </c>
      <c r="AH230">
        <v>49</v>
      </c>
      <c r="AI230">
        <v>19</v>
      </c>
      <c r="AJ230">
        <v>2</v>
      </c>
      <c r="AK230">
        <v>0</v>
      </c>
      <c r="AL230">
        <v>-1</v>
      </c>
      <c r="AM230">
        <v>-1</v>
      </c>
      <c r="AN230">
        <v>0</v>
      </c>
      <c r="AO230">
        <v>0</v>
      </c>
      <c r="AP230">
        <v>0</v>
      </c>
      <c r="AQ230">
        <v>0</v>
      </c>
      <c r="AR230">
        <f t="shared" si="575"/>
        <v>0</v>
      </c>
      <c r="AS230">
        <f>IF(AND(IFERROR(VLOOKUP(AJ230,Equip!$A:$N,13,FALSE),0)&gt;=5,IFERROR(VLOOKUP(AJ230,Equip!$A:$N,13,FALSE),0)&lt;=9),INT(VLOOKUP(AJ230,Equip!$A:$N,6,FALSE)*SQRT(AN230)),0)</f>
        <v>0</v>
      </c>
      <c r="AT230">
        <f>IF(AND(IFERROR(VLOOKUP(AK230,Equip!$A:$N,13,FALSE),0)&gt;=5,IFERROR(VLOOKUP(AK230,Equip!$A:$N,13,FALSE),0)&lt;=9),INT(VLOOKUP(AK230,Equip!$A:$N,6,FALSE)*SQRT(AO230)),0)</f>
        <v>0</v>
      </c>
      <c r="AU230">
        <f>IF(AND(IFERROR(VLOOKUP(AL230,Equip!$A:$N,13,FALSE),0)&gt;=5,IFERROR(VLOOKUP(AL230,Equip!$A:$N,13,FALSE),0)&lt;=9),INT(VLOOKUP(AL230,Equip!$A:$N,6,FALSE)*SQRT(AP230)),0)</f>
        <v>0</v>
      </c>
      <c r="AV230">
        <f>IF(AND(IFERROR(VLOOKUP(AM230,Equip!$A:$N,13,FALSE),0)&gt;=5,IFERROR(VLOOKUP(AM230,Equip!$A:$N,13,FALSE),0)&lt;=9),INT(VLOOKUP(AM230,Equip!$A:$N,6,FALSE)*SQRT(AQ230)),0)</f>
        <v>0</v>
      </c>
      <c r="AW230">
        <f t="shared" si="564"/>
        <v>0</v>
      </c>
      <c r="AX230">
        <f t="shared" si="565"/>
        <v>319</v>
      </c>
    </row>
    <row r="231" spans="1:50">
      <c r="A231">
        <v>88</v>
      </c>
      <c r="B231" t="s">
        <v>822</v>
      </c>
      <c r="C231" t="s">
        <v>822</v>
      </c>
      <c r="D231">
        <v>1</v>
      </c>
      <c r="E231">
        <f t="shared" ref="E231:E232" si="677">E230</f>
        <v>1320</v>
      </c>
      <c r="F231">
        <f t="shared" ref="F231:F232" si="678">F230</f>
        <v>760</v>
      </c>
      <c r="G231">
        <f t="shared" ref="G231:G232" si="679">G230</f>
        <v>88</v>
      </c>
      <c r="H231">
        <v>1</v>
      </c>
      <c r="I231">
        <f t="shared" ref="I231:I232" si="680">I230</f>
        <v>1</v>
      </c>
      <c r="J231">
        <f t="shared" ref="J231:J232" si="681">J230</f>
        <v>12</v>
      </c>
      <c r="K231">
        <v>1</v>
      </c>
      <c r="L231">
        <v>1</v>
      </c>
      <c r="M231">
        <v>31</v>
      </c>
      <c r="N231">
        <v>31</v>
      </c>
      <c r="O231">
        <v>15</v>
      </c>
      <c r="P231">
        <v>20</v>
      </c>
      <c r="Q231">
        <v>37</v>
      </c>
      <c r="R231">
        <v>54</v>
      </c>
      <c r="S231">
        <v>19</v>
      </c>
      <c r="T231">
        <v>31</v>
      </c>
      <c r="U231">
        <f t="shared" ref="U231:U232" si="682">U230</f>
        <v>10</v>
      </c>
      <c r="V231">
        <v>14</v>
      </c>
      <c r="W231">
        <f t="shared" ref="W231:W232" si="683">W230</f>
        <v>1</v>
      </c>
      <c r="X231">
        <v>12</v>
      </c>
      <c r="Y231">
        <f t="shared" ref="Y231:Y232" si="684">Y230</f>
        <v>0</v>
      </c>
      <c r="Z231">
        <v>15</v>
      </c>
      <c r="AA231">
        <v>20</v>
      </c>
      <c r="AB231">
        <v>49</v>
      </c>
      <c r="AC231">
        <v>79</v>
      </c>
      <c r="AD231">
        <v>49</v>
      </c>
      <c r="AE231">
        <v>49</v>
      </c>
      <c r="AF231">
        <v>59</v>
      </c>
      <c r="AG231">
        <v>89</v>
      </c>
      <c r="AH231">
        <v>59</v>
      </c>
      <c r="AI231">
        <v>39</v>
      </c>
      <c r="AJ231">
        <v>3</v>
      </c>
      <c r="AK231">
        <v>15</v>
      </c>
      <c r="AL231">
        <v>0</v>
      </c>
      <c r="AM231">
        <v>-1</v>
      </c>
      <c r="AN231">
        <v>0</v>
      </c>
      <c r="AO231">
        <v>0</v>
      </c>
      <c r="AP231">
        <v>0</v>
      </c>
      <c r="AQ231">
        <v>0</v>
      </c>
      <c r="AR231">
        <f t="shared" si="575"/>
        <v>0</v>
      </c>
      <c r="AS231">
        <f>IF(AND(IFERROR(VLOOKUP(AJ231,Equip!$A:$N,13,FALSE),0)&gt;=5,IFERROR(VLOOKUP(AJ231,Equip!$A:$N,13,FALSE),0)&lt;=9),INT(VLOOKUP(AJ231,Equip!$A:$N,6,FALSE)*SQRT(AN231)),0)</f>
        <v>0</v>
      </c>
      <c r="AT231">
        <f>IF(AND(IFERROR(VLOOKUP(AK231,Equip!$A:$N,13,FALSE),0)&gt;=5,IFERROR(VLOOKUP(AK231,Equip!$A:$N,13,FALSE),0)&lt;=9),INT(VLOOKUP(AK231,Equip!$A:$N,6,FALSE)*SQRT(AO231)),0)</f>
        <v>0</v>
      </c>
      <c r="AU231">
        <f>IF(AND(IFERROR(VLOOKUP(AL231,Equip!$A:$N,13,FALSE),0)&gt;=5,IFERROR(VLOOKUP(AL231,Equip!$A:$N,13,FALSE),0)&lt;=9),INT(VLOOKUP(AL231,Equip!$A:$N,6,FALSE)*SQRT(AP231)),0)</f>
        <v>0</v>
      </c>
      <c r="AV231">
        <f>IF(AND(IFERROR(VLOOKUP(AM231,Equip!$A:$N,13,FALSE),0)&gt;=5,IFERROR(VLOOKUP(AM231,Equip!$A:$N,13,FALSE),0)&lt;=9),INT(VLOOKUP(AM231,Equip!$A:$N,6,FALSE)*SQRT(AQ231)),0)</f>
        <v>0</v>
      </c>
      <c r="AW231">
        <f t="shared" si="564"/>
        <v>0</v>
      </c>
      <c r="AX231">
        <f t="shared" si="565"/>
        <v>444</v>
      </c>
    </row>
    <row r="232" spans="1:50">
      <c r="A232">
        <v>88</v>
      </c>
      <c r="B232" t="s">
        <v>822</v>
      </c>
      <c r="C232" t="s">
        <v>822</v>
      </c>
      <c r="D232">
        <v>2</v>
      </c>
      <c r="E232">
        <f t="shared" si="677"/>
        <v>1320</v>
      </c>
      <c r="F232">
        <f t="shared" si="678"/>
        <v>760</v>
      </c>
      <c r="G232">
        <f t="shared" si="679"/>
        <v>88</v>
      </c>
      <c r="H232">
        <v>1</v>
      </c>
      <c r="I232">
        <f t="shared" si="680"/>
        <v>1</v>
      </c>
      <c r="J232">
        <f t="shared" si="681"/>
        <v>12</v>
      </c>
      <c r="K232">
        <v>1</v>
      </c>
      <c r="L232">
        <v>1</v>
      </c>
      <c r="M232">
        <v>31</v>
      </c>
      <c r="N232">
        <v>31</v>
      </c>
      <c r="O232">
        <v>19</v>
      </c>
      <c r="P232">
        <v>19</v>
      </c>
      <c r="Q232">
        <v>33</v>
      </c>
      <c r="R232">
        <v>50</v>
      </c>
      <c r="S232">
        <v>22</v>
      </c>
      <c r="T232">
        <v>26</v>
      </c>
      <c r="U232">
        <f t="shared" si="682"/>
        <v>10</v>
      </c>
      <c r="V232">
        <v>11</v>
      </c>
      <c r="W232">
        <f t="shared" si="683"/>
        <v>1</v>
      </c>
      <c r="X232">
        <v>17</v>
      </c>
      <c r="Y232">
        <f t="shared" si="684"/>
        <v>0</v>
      </c>
      <c r="Z232">
        <v>15</v>
      </c>
      <c r="AA232">
        <v>20</v>
      </c>
      <c r="AB232">
        <v>69</v>
      </c>
      <c r="AC232">
        <v>88</v>
      </c>
      <c r="AD232">
        <v>70</v>
      </c>
      <c r="AE232">
        <v>52</v>
      </c>
      <c r="AF232">
        <v>71</v>
      </c>
      <c r="AG232">
        <v>90</v>
      </c>
      <c r="AH232">
        <v>59</v>
      </c>
      <c r="AI232">
        <v>52</v>
      </c>
      <c r="AJ232">
        <v>68</v>
      </c>
      <c r="AK232">
        <v>74</v>
      </c>
      <c r="AL232">
        <v>15</v>
      </c>
      <c r="AM232">
        <v>-1</v>
      </c>
      <c r="AN232">
        <v>0</v>
      </c>
      <c r="AO232">
        <v>0</v>
      </c>
      <c r="AP232">
        <v>0</v>
      </c>
      <c r="AQ232">
        <v>0</v>
      </c>
      <c r="AR232">
        <f t="shared" si="575"/>
        <v>0</v>
      </c>
      <c r="AS232">
        <f>IF(AND(IFERROR(VLOOKUP(AJ232,Equip!$A:$N,13,FALSE),0)&gt;=5,IFERROR(VLOOKUP(AJ232,Equip!$A:$N,13,FALSE),0)&lt;=9),INT(VLOOKUP(AJ232,Equip!$A:$N,6,FALSE)*SQRT(AN232)),0)</f>
        <v>0</v>
      </c>
      <c r="AT232">
        <f>IF(AND(IFERROR(VLOOKUP(AK232,Equip!$A:$N,13,FALSE),0)&gt;=5,IFERROR(VLOOKUP(AK232,Equip!$A:$N,13,FALSE),0)&lt;=9),INT(VLOOKUP(AK232,Equip!$A:$N,6,FALSE)*SQRT(AO232)),0)</f>
        <v>0</v>
      </c>
      <c r="AU232">
        <f>IF(AND(IFERROR(VLOOKUP(AL232,Equip!$A:$N,13,FALSE),0)&gt;=5,IFERROR(VLOOKUP(AL232,Equip!$A:$N,13,FALSE),0)&lt;=9),INT(VLOOKUP(AL232,Equip!$A:$N,6,FALSE)*SQRT(AP232)),0)</f>
        <v>0</v>
      </c>
      <c r="AV232">
        <f>IF(AND(IFERROR(VLOOKUP(AM232,Equip!$A:$N,13,FALSE),0)&gt;=5,IFERROR(VLOOKUP(AM232,Equip!$A:$N,13,FALSE),0)&lt;=9),INT(VLOOKUP(AM232,Equip!$A:$N,6,FALSE)*SQRT(AQ232)),0)</f>
        <v>0</v>
      </c>
      <c r="AW232">
        <f t="shared" si="564"/>
        <v>0</v>
      </c>
      <c r="AX232">
        <f t="shared" si="565"/>
        <v>511</v>
      </c>
    </row>
    <row r="233" spans="1:50">
      <c r="A233">
        <v>89</v>
      </c>
      <c r="B233" t="s">
        <v>823</v>
      </c>
      <c r="C233" t="s">
        <v>823</v>
      </c>
      <c r="D233">
        <v>0</v>
      </c>
      <c r="E233">
        <v>1320</v>
      </c>
      <c r="F233">
        <v>760</v>
      </c>
      <c r="G233">
        <v>89</v>
      </c>
      <c r="H233">
        <v>0</v>
      </c>
      <c r="I233">
        <v>1</v>
      </c>
      <c r="J233">
        <v>10</v>
      </c>
      <c r="K233">
        <v>1</v>
      </c>
      <c r="L233">
        <v>1</v>
      </c>
      <c r="M233">
        <v>16</v>
      </c>
      <c r="N233">
        <v>16</v>
      </c>
      <c r="O233">
        <v>10</v>
      </c>
      <c r="P233">
        <v>6</v>
      </c>
      <c r="Q233">
        <v>24</v>
      </c>
      <c r="R233">
        <v>43</v>
      </c>
      <c r="S233">
        <v>9</v>
      </c>
      <c r="T233">
        <v>21</v>
      </c>
      <c r="U233">
        <v>10</v>
      </c>
      <c r="V233">
        <v>5</v>
      </c>
      <c r="W233">
        <v>1</v>
      </c>
      <c r="X233">
        <v>10</v>
      </c>
      <c r="Y233">
        <v>0</v>
      </c>
      <c r="Z233">
        <v>15</v>
      </c>
      <c r="AA233">
        <v>20</v>
      </c>
      <c r="AB233">
        <v>29</v>
      </c>
      <c r="AC233">
        <v>69</v>
      </c>
      <c r="AD233">
        <v>39</v>
      </c>
      <c r="AE233">
        <v>19</v>
      </c>
      <c r="AF233">
        <v>49</v>
      </c>
      <c r="AG233">
        <v>79</v>
      </c>
      <c r="AH233">
        <v>49</v>
      </c>
      <c r="AI233">
        <v>19</v>
      </c>
      <c r="AJ233">
        <v>2</v>
      </c>
      <c r="AK233">
        <v>0</v>
      </c>
      <c r="AL233">
        <v>-1</v>
      </c>
      <c r="AM233">
        <v>-1</v>
      </c>
      <c r="AN233">
        <v>0</v>
      </c>
      <c r="AO233">
        <v>0</v>
      </c>
      <c r="AP233">
        <v>0</v>
      </c>
      <c r="AQ233">
        <v>0</v>
      </c>
      <c r="AR233">
        <f t="shared" si="575"/>
        <v>0</v>
      </c>
      <c r="AS233">
        <f>IF(AND(IFERROR(VLOOKUP(AJ233,Equip!$A:$N,13,FALSE),0)&gt;=5,IFERROR(VLOOKUP(AJ233,Equip!$A:$N,13,FALSE),0)&lt;=9),INT(VLOOKUP(AJ233,Equip!$A:$N,6,FALSE)*SQRT(AN233)),0)</f>
        <v>0</v>
      </c>
      <c r="AT233">
        <f>IF(AND(IFERROR(VLOOKUP(AK233,Equip!$A:$N,13,FALSE),0)&gt;=5,IFERROR(VLOOKUP(AK233,Equip!$A:$N,13,FALSE),0)&lt;=9),INT(VLOOKUP(AK233,Equip!$A:$N,6,FALSE)*SQRT(AO233)),0)</f>
        <v>0</v>
      </c>
      <c r="AU233">
        <f>IF(AND(IFERROR(VLOOKUP(AL233,Equip!$A:$N,13,FALSE),0)&gt;=5,IFERROR(VLOOKUP(AL233,Equip!$A:$N,13,FALSE),0)&lt;=9),INT(VLOOKUP(AL233,Equip!$A:$N,6,FALSE)*SQRT(AP233)),0)</f>
        <v>0</v>
      </c>
      <c r="AV233">
        <f>IF(AND(IFERROR(VLOOKUP(AM233,Equip!$A:$N,13,FALSE),0)&gt;=5,IFERROR(VLOOKUP(AM233,Equip!$A:$N,13,FALSE),0)&lt;=9),INT(VLOOKUP(AM233,Equip!$A:$N,6,FALSE)*SQRT(AQ233)),0)</f>
        <v>0</v>
      </c>
      <c r="AW233">
        <f t="shared" si="564"/>
        <v>0</v>
      </c>
      <c r="AX233">
        <f t="shared" si="565"/>
        <v>319</v>
      </c>
    </row>
    <row r="234" spans="1:50">
      <c r="A234">
        <v>89</v>
      </c>
      <c r="B234" t="s">
        <v>823</v>
      </c>
      <c r="C234" t="s">
        <v>823</v>
      </c>
      <c r="D234">
        <v>1</v>
      </c>
      <c r="E234">
        <f>E233</f>
        <v>1320</v>
      </c>
      <c r="F234">
        <f t="shared" ref="F234" si="685">F233</f>
        <v>760</v>
      </c>
      <c r="G234">
        <f t="shared" ref="G234" si="686">G233</f>
        <v>89</v>
      </c>
      <c r="H234">
        <f t="shared" ref="H234" si="687">H233</f>
        <v>0</v>
      </c>
      <c r="I234">
        <v>1</v>
      </c>
      <c r="J234">
        <f t="shared" ref="J234" si="688">J233</f>
        <v>10</v>
      </c>
      <c r="K234">
        <v>1</v>
      </c>
      <c r="L234">
        <v>1</v>
      </c>
      <c r="M234">
        <v>31</v>
      </c>
      <c r="N234">
        <v>31</v>
      </c>
      <c r="O234">
        <v>15</v>
      </c>
      <c r="P234">
        <v>20</v>
      </c>
      <c r="Q234">
        <v>37</v>
      </c>
      <c r="R234">
        <v>54</v>
      </c>
      <c r="S234">
        <v>19</v>
      </c>
      <c r="T234">
        <v>31</v>
      </c>
      <c r="U234">
        <f t="shared" ref="U234" si="689">U233</f>
        <v>10</v>
      </c>
      <c r="V234">
        <v>14</v>
      </c>
      <c r="W234">
        <f t="shared" ref="W234" si="690">W233</f>
        <v>1</v>
      </c>
      <c r="X234">
        <v>12</v>
      </c>
      <c r="Y234">
        <f t="shared" ref="Y234" si="691">Y233</f>
        <v>0</v>
      </c>
      <c r="Z234">
        <v>15</v>
      </c>
      <c r="AA234">
        <v>20</v>
      </c>
      <c r="AB234">
        <v>49</v>
      </c>
      <c r="AC234">
        <v>79</v>
      </c>
      <c r="AD234">
        <v>49</v>
      </c>
      <c r="AE234">
        <v>49</v>
      </c>
      <c r="AF234">
        <v>59</v>
      </c>
      <c r="AG234">
        <v>89</v>
      </c>
      <c r="AH234">
        <v>59</v>
      </c>
      <c r="AI234">
        <v>39</v>
      </c>
      <c r="AJ234">
        <v>3</v>
      </c>
      <c r="AK234">
        <v>15</v>
      </c>
      <c r="AL234">
        <v>0</v>
      </c>
      <c r="AM234">
        <v>-1</v>
      </c>
      <c r="AN234">
        <v>0</v>
      </c>
      <c r="AO234">
        <v>0</v>
      </c>
      <c r="AP234">
        <v>0</v>
      </c>
      <c r="AQ234">
        <v>0</v>
      </c>
      <c r="AR234">
        <f t="shared" si="575"/>
        <v>0</v>
      </c>
      <c r="AS234">
        <f>IF(AND(IFERROR(VLOOKUP(AJ234,Equip!$A:$N,13,FALSE),0)&gt;=5,IFERROR(VLOOKUP(AJ234,Equip!$A:$N,13,FALSE),0)&lt;=9),INT(VLOOKUP(AJ234,Equip!$A:$N,6,FALSE)*SQRT(AN234)),0)</f>
        <v>0</v>
      </c>
      <c r="AT234">
        <f>IF(AND(IFERROR(VLOOKUP(AK234,Equip!$A:$N,13,FALSE),0)&gt;=5,IFERROR(VLOOKUP(AK234,Equip!$A:$N,13,FALSE),0)&lt;=9),INT(VLOOKUP(AK234,Equip!$A:$N,6,FALSE)*SQRT(AO234)),0)</f>
        <v>0</v>
      </c>
      <c r="AU234">
        <f>IF(AND(IFERROR(VLOOKUP(AL234,Equip!$A:$N,13,FALSE),0)&gt;=5,IFERROR(VLOOKUP(AL234,Equip!$A:$N,13,FALSE),0)&lt;=9),INT(VLOOKUP(AL234,Equip!$A:$N,6,FALSE)*SQRT(AP234)),0)</f>
        <v>0</v>
      </c>
      <c r="AV234">
        <f>IF(AND(IFERROR(VLOOKUP(AM234,Equip!$A:$N,13,FALSE),0)&gt;=5,IFERROR(VLOOKUP(AM234,Equip!$A:$N,13,FALSE),0)&lt;=9),INT(VLOOKUP(AM234,Equip!$A:$N,6,FALSE)*SQRT(AQ234)),0)</f>
        <v>0</v>
      </c>
      <c r="AW234">
        <f t="shared" si="564"/>
        <v>0</v>
      </c>
      <c r="AX234">
        <f t="shared" si="565"/>
        <v>444</v>
      </c>
    </row>
    <row r="235" spans="1:50">
      <c r="A235">
        <v>90</v>
      </c>
      <c r="B235" t="s">
        <v>824</v>
      </c>
      <c r="C235" t="s">
        <v>824</v>
      </c>
      <c r="D235">
        <v>0</v>
      </c>
      <c r="E235">
        <v>1320</v>
      </c>
      <c r="F235">
        <v>760</v>
      </c>
      <c r="G235">
        <v>90</v>
      </c>
      <c r="H235">
        <v>0</v>
      </c>
      <c r="I235">
        <v>1</v>
      </c>
      <c r="J235">
        <v>9</v>
      </c>
      <c r="K235">
        <v>1</v>
      </c>
      <c r="L235">
        <v>1</v>
      </c>
      <c r="M235">
        <v>16</v>
      </c>
      <c r="N235">
        <v>16</v>
      </c>
      <c r="O235">
        <v>10</v>
      </c>
      <c r="P235">
        <v>6</v>
      </c>
      <c r="Q235">
        <v>24</v>
      </c>
      <c r="R235">
        <v>43</v>
      </c>
      <c r="S235">
        <v>9</v>
      </c>
      <c r="T235">
        <v>21</v>
      </c>
      <c r="U235">
        <v>10</v>
      </c>
      <c r="V235">
        <v>5</v>
      </c>
      <c r="W235">
        <v>1</v>
      </c>
      <c r="X235">
        <v>10</v>
      </c>
      <c r="Y235">
        <v>0</v>
      </c>
      <c r="Z235">
        <v>15</v>
      </c>
      <c r="AA235">
        <v>20</v>
      </c>
      <c r="AB235">
        <v>29</v>
      </c>
      <c r="AC235">
        <v>69</v>
      </c>
      <c r="AD235">
        <v>39</v>
      </c>
      <c r="AE235">
        <v>19</v>
      </c>
      <c r="AF235">
        <v>59</v>
      </c>
      <c r="AG235">
        <v>79</v>
      </c>
      <c r="AH235">
        <v>49</v>
      </c>
      <c r="AI235">
        <v>19</v>
      </c>
      <c r="AJ235">
        <v>2</v>
      </c>
      <c r="AK235">
        <v>0</v>
      </c>
      <c r="AL235">
        <v>-1</v>
      </c>
      <c r="AM235">
        <v>-1</v>
      </c>
      <c r="AN235">
        <v>0</v>
      </c>
      <c r="AO235">
        <v>0</v>
      </c>
      <c r="AP235">
        <v>0</v>
      </c>
      <c r="AQ235">
        <v>0</v>
      </c>
      <c r="AR235">
        <f t="shared" si="575"/>
        <v>0</v>
      </c>
      <c r="AS235">
        <f>IF(AND(IFERROR(VLOOKUP(AJ235,Equip!$A:$N,13,FALSE),0)&gt;=5,IFERROR(VLOOKUP(AJ235,Equip!$A:$N,13,FALSE),0)&lt;=9),INT(VLOOKUP(AJ235,Equip!$A:$N,6,FALSE)*SQRT(AN235)),0)</f>
        <v>0</v>
      </c>
      <c r="AT235">
        <f>IF(AND(IFERROR(VLOOKUP(AK235,Equip!$A:$N,13,FALSE),0)&gt;=5,IFERROR(VLOOKUP(AK235,Equip!$A:$N,13,FALSE),0)&lt;=9),INT(VLOOKUP(AK235,Equip!$A:$N,6,FALSE)*SQRT(AO235)),0)</f>
        <v>0</v>
      </c>
      <c r="AU235">
        <f>IF(AND(IFERROR(VLOOKUP(AL235,Equip!$A:$N,13,FALSE),0)&gt;=5,IFERROR(VLOOKUP(AL235,Equip!$A:$N,13,FALSE),0)&lt;=9),INT(VLOOKUP(AL235,Equip!$A:$N,6,FALSE)*SQRT(AP235)),0)</f>
        <v>0</v>
      </c>
      <c r="AV235">
        <f>IF(AND(IFERROR(VLOOKUP(AM235,Equip!$A:$N,13,FALSE),0)&gt;=5,IFERROR(VLOOKUP(AM235,Equip!$A:$N,13,FALSE),0)&lt;=9),INT(VLOOKUP(AM235,Equip!$A:$N,6,FALSE)*SQRT(AQ235)),0)</f>
        <v>0</v>
      </c>
      <c r="AW235">
        <f t="shared" si="564"/>
        <v>0</v>
      </c>
      <c r="AX235">
        <f t="shared" si="565"/>
        <v>319</v>
      </c>
    </row>
    <row r="236" spans="1:50">
      <c r="A236">
        <v>90</v>
      </c>
      <c r="B236" t="s">
        <v>824</v>
      </c>
      <c r="C236" t="s">
        <v>824</v>
      </c>
      <c r="D236">
        <v>1</v>
      </c>
      <c r="E236">
        <f t="shared" ref="E236:E238" si="692">E235</f>
        <v>1320</v>
      </c>
      <c r="F236">
        <f t="shared" ref="F236:F238" si="693">F235</f>
        <v>760</v>
      </c>
      <c r="G236">
        <f t="shared" ref="G236:G238" si="694">G235</f>
        <v>90</v>
      </c>
      <c r="H236">
        <f t="shared" ref="H236:H238" si="695">H235</f>
        <v>0</v>
      </c>
      <c r="I236">
        <f t="shared" ref="I236:I238" si="696">I235</f>
        <v>1</v>
      </c>
      <c r="J236">
        <f t="shared" ref="J236:J238" si="697">J235</f>
        <v>9</v>
      </c>
      <c r="K236">
        <v>1</v>
      </c>
      <c r="L236">
        <v>1</v>
      </c>
      <c r="M236">
        <v>31</v>
      </c>
      <c r="N236">
        <v>31</v>
      </c>
      <c r="O236">
        <v>15</v>
      </c>
      <c r="P236">
        <v>17</v>
      </c>
      <c r="Q236">
        <v>33</v>
      </c>
      <c r="R236">
        <v>54</v>
      </c>
      <c r="S236">
        <v>19</v>
      </c>
      <c r="T236">
        <v>31</v>
      </c>
      <c r="U236">
        <f t="shared" ref="U236:U238" si="698">U235</f>
        <v>10</v>
      </c>
      <c r="V236">
        <v>14</v>
      </c>
      <c r="W236">
        <f t="shared" ref="W236:W238" si="699">W235</f>
        <v>1</v>
      </c>
      <c r="X236">
        <v>20</v>
      </c>
      <c r="Y236">
        <f t="shared" ref="Y236:Y238" si="700">Y235</f>
        <v>0</v>
      </c>
      <c r="Z236">
        <v>15</v>
      </c>
      <c r="AA236">
        <v>20</v>
      </c>
      <c r="AB236">
        <v>49</v>
      </c>
      <c r="AC236">
        <v>79</v>
      </c>
      <c r="AD236">
        <v>49</v>
      </c>
      <c r="AE236">
        <v>49</v>
      </c>
      <c r="AF236">
        <v>79</v>
      </c>
      <c r="AG236">
        <v>89</v>
      </c>
      <c r="AH236">
        <v>59</v>
      </c>
      <c r="AI236">
        <v>39</v>
      </c>
      <c r="AJ236">
        <v>3</v>
      </c>
      <c r="AK236">
        <v>15</v>
      </c>
      <c r="AL236">
        <v>0</v>
      </c>
      <c r="AM236">
        <v>-1</v>
      </c>
      <c r="AN236">
        <v>0</v>
      </c>
      <c r="AO236">
        <v>0</v>
      </c>
      <c r="AP236">
        <v>0</v>
      </c>
      <c r="AQ236">
        <v>0</v>
      </c>
      <c r="AR236">
        <f t="shared" si="575"/>
        <v>0</v>
      </c>
      <c r="AS236">
        <f>IF(AND(IFERROR(VLOOKUP(AJ236,Equip!$A:$N,13,FALSE),0)&gt;=5,IFERROR(VLOOKUP(AJ236,Equip!$A:$N,13,FALSE),0)&lt;=9),INT(VLOOKUP(AJ236,Equip!$A:$N,6,FALSE)*SQRT(AN236)),0)</f>
        <v>0</v>
      </c>
      <c r="AT236">
        <f>IF(AND(IFERROR(VLOOKUP(AK236,Equip!$A:$N,13,FALSE),0)&gt;=5,IFERROR(VLOOKUP(AK236,Equip!$A:$N,13,FALSE),0)&lt;=9),INT(VLOOKUP(AK236,Equip!$A:$N,6,FALSE)*SQRT(AO236)),0)</f>
        <v>0</v>
      </c>
      <c r="AU236">
        <f>IF(AND(IFERROR(VLOOKUP(AL236,Equip!$A:$N,13,FALSE),0)&gt;=5,IFERROR(VLOOKUP(AL236,Equip!$A:$N,13,FALSE),0)&lt;=9),INT(VLOOKUP(AL236,Equip!$A:$N,6,FALSE)*SQRT(AP236)),0)</f>
        <v>0</v>
      </c>
      <c r="AV236">
        <f>IF(AND(IFERROR(VLOOKUP(AM236,Equip!$A:$N,13,FALSE),0)&gt;=5,IFERROR(VLOOKUP(AM236,Equip!$A:$N,13,FALSE),0)&lt;=9),INT(VLOOKUP(AM236,Equip!$A:$N,6,FALSE)*SQRT(AQ236)),0)</f>
        <v>0</v>
      </c>
      <c r="AW236">
        <f t="shared" si="564"/>
        <v>0</v>
      </c>
      <c r="AX236">
        <f t="shared" si="565"/>
        <v>444</v>
      </c>
    </row>
    <row r="237" spans="1:50">
      <c r="A237">
        <v>90</v>
      </c>
      <c r="B237" t="s">
        <v>824</v>
      </c>
      <c r="C237" t="s">
        <v>824</v>
      </c>
      <c r="D237">
        <v>2</v>
      </c>
      <c r="E237">
        <f t="shared" si="692"/>
        <v>1320</v>
      </c>
      <c r="F237">
        <f t="shared" si="693"/>
        <v>760</v>
      </c>
      <c r="G237">
        <f t="shared" si="694"/>
        <v>90</v>
      </c>
      <c r="H237">
        <f t="shared" si="695"/>
        <v>0</v>
      </c>
      <c r="I237">
        <f t="shared" si="696"/>
        <v>1</v>
      </c>
      <c r="J237">
        <f t="shared" si="697"/>
        <v>9</v>
      </c>
      <c r="K237">
        <v>1</v>
      </c>
      <c r="L237">
        <v>1</v>
      </c>
      <c r="M237">
        <v>31</v>
      </c>
      <c r="N237">
        <v>31</v>
      </c>
      <c r="O237">
        <v>16</v>
      </c>
      <c r="P237">
        <v>17</v>
      </c>
      <c r="Q237">
        <v>33</v>
      </c>
      <c r="R237">
        <v>54</v>
      </c>
      <c r="S237">
        <v>24</v>
      </c>
      <c r="T237">
        <v>31</v>
      </c>
      <c r="U237">
        <f t="shared" si="698"/>
        <v>10</v>
      </c>
      <c r="V237">
        <v>14</v>
      </c>
      <c r="W237">
        <f t="shared" si="699"/>
        <v>1</v>
      </c>
      <c r="X237">
        <v>37</v>
      </c>
      <c r="Y237">
        <f t="shared" si="700"/>
        <v>0</v>
      </c>
      <c r="Z237">
        <v>15</v>
      </c>
      <c r="AA237">
        <v>20</v>
      </c>
      <c r="AB237">
        <v>63</v>
      </c>
      <c r="AC237">
        <v>92</v>
      </c>
      <c r="AD237">
        <v>72</v>
      </c>
      <c r="AE237">
        <v>50</v>
      </c>
      <c r="AF237">
        <v>97</v>
      </c>
      <c r="AG237">
        <v>90</v>
      </c>
      <c r="AH237">
        <v>68</v>
      </c>
      <c r="AI237">
        <v>54</v>
      </c>
      <c r="AJ237">
        <v>0</v>
      </c>
      <c r="AK237">
        <v>0</v>
      </c>
      <c r="AL237">
        <v>0</v>
      </c>
      <c r="AM237">
        <v>-1</v>
      </c>
      <c r="AN237">
        <v>0</v>
      </c>
      <c r="AO237">
        <v>0</v>
      </c>
      <c r="AP237">
        <v>0</v>
      </c>
      <c r="AQ237">
        <v>0</v>
      </c>
      <c r="AR237">
        <f t="shared" si="575"/>
        <v>0</v>
      </c>
      <c r="AS237">
        <f>IF(AND(IFERROR(VLOOKUP(AJ237,Equip!$A:$N,13,FALSE),0)&gt;=5,IFERROR(VLOOKUP(AJ237,Equip!$A:$N,13,FALSE),0)&lt;=9),INT(VLOOKUP(AJ237,Equip!$A:$N,6,FALSE)*SQRT(AN237)),0)</f>
        <v>0</v>
      </c>
      <c r="AT237">
        <f>IF(AND(IFERROR(VLOOKUP(AK237,Equip!$A:$N,13,FALSE),0)&gt;=5,IFERROR(VLOOKUP(AK237,Equip!$A:$N,13,FALSE),0)&lt;=9),INT(VLOOKUP(AK237,Equip!$A:$N,6,FALSE)*SQRT(AO237)),0)</f>
        <v>0</v>
      </c>
      <c r="AU237">
        <f>IF(AND(IFERROR(VLOOKUP(AL237,Equip!$A:$N,13,FALSE),0)&gt;=5,IFERROR(VLOOKUP(AL237,Equip!$A:$N,13,FALSE),0)&lt;=9),INT(VLOOKUP(AL237,Equip!$A:$N,6,FALSE)*SQRT(AP237)),0)</f>
        <v>0</v>
      </c>
      <c r="AV237">
        <f>IF(AND(IFERROR(VLOOKUP(AM237,Equip!$A:$N,13,FALSE),0)&gt;=5,IFERROR(VLOOKUP(AM237,Equip!$A:$N,13,FALSE),0)&lt;=9),INT(VLOOKUP(AM237,Equip!$A:$N,6,FALSE)*SQRT(AQ237)),0)</f>
        <v>0</v>
      </c>
      <c r="AW237">
        <f t="shared" si="564"/>
        <v>0</v>
      </c>
      <c r="AX237">
        <f t="shared" si="565"/>
        <v>520</v>
      </c>
    </row>
    <row r="238" spans="1:50">
      <c r="A238">
        <v>90</v>
      </c>
      <c r="B238" t="s">
        <v>824</v>
      </c>
      <c r="C238" t="s">
        <v>824</v>
      </c>
      <c r="D238">
        <v>3</v>
      </c>
      <c r="E238">
        <f t="shared" si="692"/>
        <v>1320</v>
      </c>
      <c r="F238">
        <f t="shared" si="693"/>
        <v>760</v>
      </c>
      <c r="G238">
        <f t="shared" si="694"/>
        <v>90</v>
      </c>
      <c r="H238">
        <f t="shared" si="695"/>
        <v>0</v>
      </c>
      <c r="I238">
        <f t="shared" si="696"/>
        <v>1</v>
      </c>
      <c r="J238">
        <f t="shared" si="697"/>
        <v>9</v>
      </c>
      <c r="K238">
        <v>1</v>
      </c>
      <c r="L238">
        <v>1</v>
      </c>
      <c r="M238">
        <v>31</v>
      </c>
      <c r="N238">
        <v>31</v>
      </c>
      <c r="O238">
        <v>15</v>
      </c>
      <c r="P238">
        <v>17</v>
      </c>
      <c r="Q238">
        <v>33</v>
      </c>
      <c r="R238">
        <v>56</v>
      </c>
      <c r="S238">
        <v>32</v>
      </c>
      <c r="T238">
        <v>31</v>
      </c>
      <c r="U238">
        <f t="shared" si="698"/>
        <v>10</v>
      </c>
      <c r="V238">
        <v>14</v>
      </c>
      <c r="W238">
        <f t="shared" si="699"/>
        <v>1</v>
      </c>
      <c r="X238">
        <v>37</v>
      </c>
      <c r="Y238">
        <f t="shared" si="700"/>
        <v>0</v>
      </c>
      <c r="Z238">
        <v>15</v>
      </c>
      <c r="AA238">
        <v>20</v>
      </c>
      <c r="AB238">
        <v>59</v>
      </c>
      <c r="AC238">
        <v>83</v>
      </c>
      <c r="AD238">
        <v>80</v>
      </c>
      <c r="AE238">
        <v>52</v>
      </c>
      <c r="AF238">
        <v>97</v>
      </c>
      <c r="AG238">
        <v>92</v>
      </c>
      <c r="AH238">
        <v>68</v>
      </c>
      <c r="AI238">
        <v>55</v>
      </c>
      <c r="AJ238">
        <v>0</v>
      </c>
      <c r="AK238">
        <v>0</v>
      </c>
      <c r="AL238">
        <v>0</v>
      </c>
      <c r="AM238">
        <v>-1</v>
      </c>
      <c r="AN238">
        <v>0</v>
      </c>
      <c r="AO238">
        <v>0</v>
      </c>
      <c r="AP238">
        <v>0</v>
      </c>
      <c r="AQ238">
        <v>0</v>
      </c>
      <c r="AR238">
        <f t="shared" si="575"/>
        <v>0</v>
      </c>
      <c r="AS238">
        <f>IF(AND(IFERROR(VLOOKUP(AJ238,Equip!$A:$N,13,FALSE),0)&gt;=5,IFERROR(VLOOKUP(AJ238,Equip!$A:$N,13,FALSE),0)&lt;=9),INT(VLOOKUP(AJ238,Equip!$A:$N,6,FALSE)*SQRT(AN238)),0)</f>
        <v>0</v>
      </c>
      <c r="AT238">
        <f>IF(AND(IFERROR(VLOOKUP(AK238,Equip!$A:$N,13,FALSE),0)&gt;=5,IFERROR(VLOOKUP(AK238,Equip!$A:$N,13,FALSE),0)&lt;=9),INT(VLOOKUP(AK238,Equip!$A:$N,6,FALSE)*SQRT(AO238)),0)</f>
        <v>0</v>
      </c>
      <c r="AU238">
        <f>IF(AND(IFERROR(VLOOKUP(AL238,Equip!$A:$N,13,FALSE),0)&gt;=5,IFERROR(VLOOKUP(AL238,Equip!$A:$N,13,FALSE),0)&lt;=9),INT(VLOOKUP(AL238,Equip!$A:$N,6,FALSE)*SQRT(AP238)),0)</f>
        <v>0</v>
      </c>
      <c r="AV238">
        <f>IF(AND(IFERROR(VLOOKUP(AM238,Equip!$A:$N,13,FALSE),0)&gt;=5,IFERROR(VLOOKUP(AM238,Equip!$A:$N,13,FALSE),0)&lt;=9),INT(VLOOKUP(AM238,Equip!$A:$N,6,FALSE)*SQRT(AQ238)),0)</f>
        <v>0</v>
      </c>
      <c r="AW238">
        <f t="shared" si="564"/>
        <v>0</v>
      </c>
      <c r="AX238">
        <f t="shared" si="565"/>
        <v>520</v>
      </c>
    </row>
    <row r="239" spans="1:50">
      <c r="A239">
        <v>91</v>
      </c>
      <c r="B239" t="s">
        <v>825</v>
      </c>
      <c r="C239" t="s">
        <v>825</v>
      </c>
      <c r="D239">
        <v>0</v>
      </c>
      <c r="E239">
        <v>1320</v>
      </c>
      <c r="F239">
        <v>760</v>
      </c>
      <c r="G239">
        <v>91</v>
      </c>
      <c r="H239">
        <v>1</v>
      </c>
      <c r="I239">
        <v>1</v>
      </c>
      <c r="J239">
        <v>3</v>
      </c>
      <c r="K239">
        <v>1</v>
      </c>
      <c r="L239">
        <v>1</v>
      </c>
      <c r="M239">
        <v>16</v>
      </c>
      <c r="N239">
        <v>16</v>
      </c>
      <c r="O239">
        <v>10</v>
      </c>
      <c r="P239">
        <v>6</v>
      </c>
      <c r="Q239">
        <v>24</v>
      </c>
      <c r="R239">
        <v>44</v>
      </c>
      <c r="S239">
        <v>11</v>
      </c>
      <c r="T239">
        <v>24</v>
      </c>
      <c r="U239">
        <v>10</v>
      </c>
      <c r="V239">
        <v>6</v>
      </c>
      <c r="W239">
        <v>1</v>
      </c>
      <c r="X239">
        <v>12</v>
      </c>
      <c r="Y239">
        <v>0</v>
      </c>
      <c r="Z239">
        <v>15</v>
      </c>
      <c r="AA239">
        <v>20</v>
      </c>
      <c r="AB239">
        <v>29</v>
      </c>
      <c r="AC239">
        <v>79</v>
      </c>
      <c r="AD239">
        <v>39</v>
      </c>
      <c r="AE239">
        <v>19</v>
      </c>
      <c r="AF239">
        <v>49</v>
      </c>
      <c r="AG239">
        <v>79</v>
      </c>
      <c r="AH239">
        <v>49</v>
      </c>
      <c r="AI239">
        <v>19</v>
      </c>
      <c r="AJ239">
        <v>2</v>
      </c>
      <c r="AK239">
        <v>13</v>
      </c>
      <c r="AL239">
        <v>-1</v>
      </c>
      <c r="AM239">
        <v>-1</v>
      </c>
      <c r="AN239">
        <v>0</v>
      </c>
      <c r="AO239">
        <v>0</v>
      </c>
      <c r="AP239">
        <v>0</v>
      </c>
      <c r="AQ239">
        <v>0</v>
      </c>
      <c r="AR239">
        <f t="shared" si="575"/>
        <v>0</v>
      </c>
      <c r="AS239">
        <f>IF(AND(IFERROR(VLOOKUP(AJ239,Equip!$A:$N,13,FALSE),0)&gt;=5,IFERROR(VLOOKUP(AJ239,Equip!$A:$N,13,FALSE),0)&lt;=9),INT(VLOOKUP(AJ239,Equip!$A:$N,6,FALSE)*SQRT(AN239)),0)</f>
        <v>0</v>
      </c>
      <c r="AT239">
        <f>IF(AND(IFERROR(VLOOKUP(AK239,Equip!$A:$N,13,FALSE),0)&gt;=5,IFERROR(VLOOKUP(AK239,Equip!$A:$N,13,FALSE),0)&lt;=9),INT(VLOOKUP(AK239,Equip!$A:$N,6,FALSE)*SQRT(AO239)),0)</f>
        <v>0</v>
      </c>
      <c r="AU239">
        <f>IF(AND(IFERROR(VLOOKUP(AL239,Equip!$A:$N,13,FALSE),0)&gt;=5,IFERROR(VLOOKUP(AL239,Equip!$A:$N,13,FALSE),0)&lt;=9),INT(VLOOKUP(AL239,Equip!$A:$N,6,FALSE)*SQRT(AP239)),0)</f>
        <v>0</v>
      </c>
      <c r="AV239">
        <f>IF(AND(IFERROR(VLOOKUP(AM239,Equip!$A:$N,13,FALSE),0)&gt;=5,IFERROR(VLOOKUP(AM239,Equip!$A:$N,13,FALSE),0)&lt;=9),INT(VLOOKUP(AM239,Equip!$A:$N,6,FALSE)*SQRT(AQ239)),0)</f>
        <v>0</v>
      </c>
      <c r="AW239">
        <f t="shared" si="564"/>
        <v>0</v>
      </c>
      <c r="AX239">
        <f t="shared" si="565"/>
        <v>329</v>
      </c>
    </row>
    <row r="240" spans="1:50">
      <c r="A240">
        <v>91</v>
      </c>
      <c r="B240" t="s">
        <v>825</v>
      </c>
      <c r="C240" t="s">
        <v>825</v>
      </c>
      <c r="D240">
        <v>1</v>
      </c>
      <c r="E240">
        <f>E239</f>
        <v>1320</v>
      </c>
      <c r="F240">
        <f t="shared" ref="F240" si="701">F239</f>
        <v>760</v>
      </c>
      <c r="G240">
        <f t="shared" ref="G240" si="702">G239</f>
        <v>91</v>
      </c>
      <c r="H240">
        <f t="shared" ref="H240" si="703">H239</f>
        <v>1</v>
      </c>
      <c r="I240">
        <f t="shared" ref="I240" si="704">I239</f>
        <v>1</v>
      </c>
      <c r="J240">
        <f t="shared" ref="J240" si="705">J239</f>
        <v>3</v>
      </c>
      <c r="K240">
        <v>1</v>
      </c>
      <c r="L240">
        <v>1</v>
      </c>
      <c r="M240">
        <v>32</v>
      </c>
      <c r="N240">
        <v>32</v>
      </c>
      <c r="O240">
        <v>15</v>
      </c>
      <c r="P240">
        <v>17</v>
      </c>
      <c r="Q240">
        <v>37</v>
      </c>
      <c r="R240">
        <v>55</v>
      </c>
      <c r="S240">
        <v>19</v>
      </c>
      <c r="T240">
        <v>32</v>
      </c>
      <c r="U240">
        <f t="shared" ref="U240" si="706">U239</f>
        <v>10</v>
      </c>
      <c r="V240">
        <v>14</v>
      </c>
      <c r="W240">
        <f t="shared" ref="W240" si="707">W239</f>
        <v>1</v>
      </c>
      <c r="X240">
        <v>12</v>
      </c>
      <c r="Y240">
        <f t="shared" ref="Y240" si="708">Y239</f>
        <v>0</v>
      </c>
      <c r="Z240">
        <v>15</v>
      </c>
      <c r="AA240">
        <v>20</v>
      </c>
      <c r="AB240">
        <v>49</v>
      </c>
      <c r="AC240">
        <v>79</v>
      </c>
      <c r="AD240">
        <v>49</v>
      </c>
      <c r="AE240">
        <v>49</v>
      </c>
      <c r="AF240">
        <v>59</v>
      </c>
      <c r="AG240">
        <v>89</v>
      </c>
      <c r="AH240">
        <v>59</v>
      </c>
      <c r="AI240">
        <v>39</v>
      </c>
      <c r="AJ240">
        <v>3</v>
      </c>
      <c r="AK240">
        <v>15</v>
      </c>
      <c r="AL240">
        <v>0</v>
      </c>
      <c r="AM240">
        <v>-1</v>
      </c>
      <c r="AN240">
        <v>0</v>
      </c>
      <c r="AO240">
        <v>0</v>
      </c>
      <c r="AP240">
        <v>0</v>
      </c>
      <c r="AQ240">
        <v>0</v>
      </c>
      <c r="AR240">
        <f t="shared" si="575"/>
        <v>0</v>
      </c>
      <c r="AS240">
        <f>IF(AND(IFERROR(VLOOKUP(AJ240,Equip!$A:$N,13,FALSE),0)&gt;=5,IFERROR(VLOOKUP(AJ240,Equip!$A:$N,13,FALSE),0)&lt;=9),INT(VLOOKUP(AJ240,Equip!$A:$N,6,FALSE)*SQRT(AN240)),0)</f>
        <v>0</v>
      </c>
      <c r="AT240">
        <f>IF(AND(IFERROR(VLOOKUP(AK240,Equip!$A:$N,13,FALSE),0)&gt;=5,IFERROR(VLOOKUP(AK240,Equip!$A:$N,13,FALSE),0)&lt;=9),INT(VLOOKUP(AK240,Equip!$A:$N,6,FALSE)*SQRT(AO240)),0)</f>
        <v>0</v>
      </c>
      <c r="AU240">
        <f>IF(AND(IFERROR(VLOOKUP(AL240,Equip!$A:$N,13,FALSE),0)&gt;=5,IFERROR(VLOOKUP(AL240,Equip!$A:$N,13,FALSE),0)&lt;=9),INT(VLOOKUP(AL240,Equip!$A:$N,6,FALSE)*SQRT(AP240)),0)</f>
        <v>0</v>
      </c>
      <c r="AV240">
        <f>IF(AND(IFERROR(VLOOKUP(AM240,Equip!$A:$N,13,FALSE),0)&gt;=5,IFERROR(VLOOKUP(AM240,Equip!$A:$N,13,FALSE),0)&lt;=9),INT(VLOOKUP(AM240,Equip!$A:$N,6,FALSE)*SQRT(AQ240)),0)</f>
        <v>0</v>
      </c>
      <c r="AW240">
        <f t="shared" si="564"/>
        <v>0</v>
      </c>
      <c r="AX240">
        <f t="shared" si="565"/>
        <v>445</v>
      </c>
    </row>
    <row r="241" spans="1:50">
      <c r="A241">
        <v>92</v>
      </c>
      <c r="B241" t="s">
        <v>826</v>
      </c>
      <c r="C241" t="s">
        <v>826</v>
      </c>
      <c r="D241">
        <v>0</v>
      </c>
      <c r="E241">
        <v>1320</v>
      </c>
      <c r="F241">
        <v>760</v>
      </c>
      <c r="G241">
        <v>92</v>
      </c>
      <c r="H241">
        <v>1</v>
      </c>
      <c r="I241">
        <v>1</v>
      </c>
      <c r="J241">
        <v>5</v>
      </c>
      <c r="K241">
        <v>1</v>
      </c>
      <c r="L241">
        <v>1</v>
      </c>
      <c r="M241">
        <v>16</v>
      </c>
      <c r="N241">
        <v>16</v>
      </c>
      <c r="O241">
        <v>10</v>
      </c>
      <c r="P241">
        <v>6</v>
      </c>
      <c r="Q241">
        <v>24</v>
      </c>
      <c r="R241">
        <v>44</v>
      </c>
      <c r="S241">
        <v>9</v>
      </c>
      <c r="T241">
        <v>24</v>
      </c>
      <c r="U241">
        <v>10</v>
      </c>
      <c r="V241">
        <v>6</v>
      </c>
      <c r="W241">
        <v>1</v>
      </c>
      <c r="X241">
        <v>10</v>
      </c>
      <c r="Y241">
        <v>0</v>
      </c>
      <c r="Z241">
        <v>15</v>
      </c>
      <c r="AA241">
        <v>20</v>
      </c>
      <c r="AB241">
        <v>29</v>
      </c>
      <c r="AC241">
        <v>69</v>
      </c>
      <c r="AD241">
        <v>39</v>
      </c>
      <c r="AE241">
        <v>19</v>
      </c>
      <c r="AF241">
        <v>49</v>
      </c>
      <c r="AG241">
        <v>79</v>
      </c>
      <c r="AH241">
        <v>49</v>
      </c>
      <c r="AI241">
        <v>19</v>
      </c>
      <c r="AJ241">
        <v>2</v>
      </c>
      <c r="AK241">
        <v>0</v>
      </c>
      <c r="AL241">
        <v>-1</v>
      </c>
      <c r="AM241">
        <v>-1</v>
      </c>
      <c r="AN241">
        <v>0</v>
      </c>
      <c r="AO241">
        <v>0</v>
      </c>
      <c r="AP241">
        <v>0</v>
      </c>
      <c r="AQ241">
        <v>0</v>
      </c>
      <c r="AR241">
        <f t="shared" si="575"/>
        <v>0</v>
      </c>
      <c r="AS241">
        <f>IF(AND(IFERROR(VLOOKUP(AJ241,Equip!$A:$N,13,FALSE),0)&gt;=5,IFERROR(VLOOKUP(AJ241,Equip!$A:$N,13,FALSE),0)&lt;=9),INT(VLOOKUP(AJ241,Equip!$A:$N,6,FALSE)*SQRT(AN241)),0)</f>
        <v>0</v>
      </c>
      <c r="AT241">
        <f>IF(AND(IFERROR(VLOOKUP(AK241,Equip!$A:$N,13,FALSE),0)&gt;=5,IFERROR(VLOOKUP(AK241,Equip!$A:$N,13,FALSE),0)&lt;=9),INT(VLOOKUP(AK241,Equip!$A:$N,6,FALSE)*SQRT(AO241)),0)</f>
        <v>0</v>
      </c>
      <c r="AU241">
        <f>IF(AND(IFERROR(VLOOKUP(AL241,Equip!$A:$N,13,FALSE),0)&gt;=5,IFERROR(VLOOKUP(AL241,Equip!$A:$N,13,FALSE),0)&lt;=9),INT(VLOOKUP(AL241,Equip!$A:$N,6,FALSE)*SQRT(AP241)),0)</f>
        <v>0</v>
      </c>
      <c r="AV241">
        <f>IF(AND(IFERROR(VLOOKUP(AM241,Equip!$A:$N,13,FALSE),0)&gt;=5,IFERROR(VLOOKUP(AM241,Equip!$A:$N,13,FALSE),0)&lt;=9),INT(VLOOKUP(AM241,Equip!$A:$N,6,FALSE)*SQRT(AQ241)),0)</f>
        <v>0</v>
      </c>
      <c r="AW241">
        <f t="shared" si="564"/>
        <v>0</v>
      </c>
      <c r="AX241">
        <f t="shared" si="565"/>
        <v>319</v>
      </c>
    </row>
    <row r="242" spans="1:50">
      <c r="A242">
        <v>92</v>
      </c>
      <c r="B242" t="s">
        <v>826</v>
      </c>
      <c r="C242" t="s">
        <v>826</v>
      </c>
      <c r="D242">
        <v>1</v>
      </c>
      <c r="E242">
        <f>E241</f>
        <v>1320</v>
      </c>
      <c r="F242">
        <f t="shared" ref="F242" si="709">F241</f>
        <v>760</v>
      </c>
      <c r="G242">
        <f t="shared" ref="G242" si="710">G241</f>
        <v>92</v>
      </c>
      <c r="H242">
        <f t="shared" ref="H242" si="711">H241</f>
        <v>1</v>
      </c>
      <c r="I242">
        <f t="shared" ref="I242" si="712">I241</f>
        <v>1</v>
      </c>
      <c r="J242">
        <f t="shared" ref="J242" si="713">J241</f>
        <v>5</v>
      </c>
      <c r="K242">
        <v>1</v>
      </c>
      <c r="L242">
        <v>1</v>
      </c>
      <c r="M242">
        <v>32</v>
      </c>
      <c r="N242">
        <v>32</v>
      </c>
      <c r="O242">
        <v>15</v>
      </c>
      <c r="P242">
        <v>17</v>
      </c>
      <c r="Q242">
        <v>37</v>
      </c>
      <c r="R242">
        <v>55</v>
      </c>
      <c r="S242">
        <v>19</v>
      </c>
      <c r="T242">
        <v>32</v>
      </c>
      <c r="U242">
        <f t="shared" ref="U242" si="714">U241</f>
        <v>10</v>
      </c>
      <c r="V242">
        <v>14</v>
      </c>
      <c r="W242">
        <f t="shared" ref="W242" si="715">W241</f>
        <v>1</v>
      </c>
      <c r="X242">
        <v>12</v>
      </c>
      <c r="Y242">
        <f t="shared" ref="Y242" si="716">Y241</f>
        <v>0</v>
      </c>
      <c r="Z242">
        <v>15</v>
      </c>
      <c r="AA242">
        <v>20</v>
      </c>
      <c r="AB242">
        <v>49</v>
      </c>
      <c r="AC242">
        <v>79</v>
      </c>
      <c r="AD242">
        <v>49</v>
      </c>
      <c r="AE242">
        <v>49</v>
      </c>
      <c r="AF242">
        <v>59</v>
      </c>
      <c r="AG242">
        <v>89</v>
      </c>
      <c r="AH242">
        <v>59</v>
      </c>
      <c r="AI242">
        <v>39</v>
      </c>
      <c r="AJ242">
        <v>3</v>
      </c>
      <c r="AK242">
        <v>15</v>
      </c>
      <c r="AL242">
        <v>0</v>
      </c>
      <c r="AM242">
        <v>-1</v>
      </c>
      <c r="AN242">
        <v>0</v>
      </c>
      <c r="AO242">
        <v>0</v>
      </c>
      <c r="AP242">
        <v>0</v>
      </c>
      <c r="AQ242">
        <v>0</v>
      </c>
      <c r="AR242">
        <f t="shared" si="575"/>
        <v>0</v>
      </c>
      <c r="AS242">
        <f>IF(AND(IFERROR(VLOOKUP(AJ242,Equip!$A:$N,13,FALSE),0)&gt;=5,IFERROR(VLOOKUP(AJ242,Equip!$A:$N,13,FALSE),0)&lt;=9),INT(VLOOKUP(AJ242,Equip!$A:$N,6,FALSE)*SQRT(AN242)),0)</f>
        <v>0</v>
      </c>
      <c r="AT242">
        <f>IF(AND(IFERROR(VLOOKUP(AK242,Equip!$A:$N,13,FALSE),0)&gt;=5,IFERROR(VLOOKUP(AK242,Equip!$A:$N,13,FALSE),0)&lt;=9),INT(VLOOKUP(AK242,Equip!$A:$N,6,FALSE)*SQRT(AO242)),0)</f>
        <v>0</v>
      </c>
      <c r="AU242">
        <f>IF(AND(IFERROR(VLOOKUP(AL242,Equip!$A:$N,13,FALSE),0)&gt;=5,IFERROR(VLOOKUP(AL242,Equip!$A:$N,13,FALSE),0)&lt;=9),INT(VLOOKUP(AL242,Equip!$A:$N,6,FALSE)*SQRT(AP242)),0)</f>
        <v>0</v>
      </c>
      <c r="AV242">
        <f>IF(AND(IFERROR(VLOOKUP(AM242,Equip!$A:$N,13,FALSE),0)&gt;=5,IFERROR(VLOOKUP(AM242,Equip!$A:$N,13,FALSE),0)&lt;=9),INT(VLOOKUP(AM242,Equip!$A:$N,6,FALSE)*SQRT(AQ242)),0)</f>
        <v>0</v>
      </c>
      <c r="AW242">
        <f t="shared" si="564"/>
        <v>0</v>
      </c>
      <c r="AX242">
        <f t="shared" si="565"/>
        <v>445</v>
      </c>
    </row>
    <row r="243" spans="1:50">
      <c r="A243">
        <v>93</v>
      </c>
      <c r="B243" t="s">
        <v>827</v>
      </c>
      <c r="C243" t="s">
        <v>827</v>
      </c>
      <c r="D243">
        <v>0</v>
      </c>
      <c r="E243">
        <v>1320</v>
      </c>
      <c r="F243">
        <v>760</v>
      </c>
      <c r="G243">
        <v>93</v>
      </c>
      <c r="H243">
        <v>1</v>
      </c>
      <c r="I243">
        <v>1</v>
      </c>
      <c r="J243">
        <v>0</v>
      </c>
      <c r="K243">
        <v>1</v>
      </c>
      <c r="L243">
        <v>1</v>
      </c>
      <c r="M243">
        <v>16</v>
      </c>
      <c r="N243">
        <v>16</v>
      </c>
      <c r="O243">
        <v>10</v>
      </c>
      <c r="P243">
        <v>6</v>
      </c>
      <c r="Q243">
        <v>24</v>
      </c>
      <c r="R243">
        <v>44</v>
      </c>
      <c r="S243">
        <v>9</v>
      </c>
      <c r="T243">
        <v>24</v>
      </c>
      <c r="U243">
        <v>10</v>
      </c>
      <c r="V243">
        <v>6</v>
      </c>
      <c r="W243">
        <v>1</v>
      </c>
      <c r="X243">
        <v>10</v>
      </c>
      <c r="Y243">
        <v>0</v>
      </c>
      <c r="Z243">
        <v>15</v>
      </c>
      <c r="AA243">
        <v>20</v>
      </c>
      <c r="AB243">
        <v>29</v>
      </c>
      <c r="AC243">
        <v>69</v>
      </c>
      <c r="AD243">
        <v>39</v>
      </c>
      <c r="AE243">
        <v>19</v>
      </c>
      <c r="AF243">
        <v>49</v>
      </c>
      <c r="AG243">
        <v>79</v>
      </c>
      <c r="AH243">
        <v>49</v>
      </c>
      <c r="AI243">
        <v>19</v>
      </c>
      <c r="AJ243">
        <v>2</v>
      </c>
      <c r="AK243">
        <v>13</v>
      </c>
      <c r="AL243">
        <v>-1</v>
      </c>
      <c r="AM243">
        <v>-1</v>
      </c>
      <c r="AN243">
        <v>0</v>
      </c>
      <c r="AO243">
        <v>0</v>
      </c>
      <c r="AP243">
        <v>0</v>
      </c>
      <c r="AQ243">
        <v>0</v>
      </c>
      <c r="AR243">
        <f t="shared" si="575"/>
        <v>0</v>
      </c>
      <c r="AS243">
        <f>IF(AND(IFERROR(VLOOKUP(AJ243,Equip!$A:$N,13,FALSE),0)&gt;=5,IFERROR(VLOOKUP(AJ243,Equip!$A:$N,13,FALSE),0)&lt;=9),INT(VLOOKUP(AJ243,Equip!$A:$N,6,FALSE)*SQRT(AN243)),0)</f>
        <v>0</v>
      </c>
      <c r="AT243">
        <f>IF(AND(IFERROR(VLOOKUP(AK243,Equip!$A:$N,13,FALSE),0)&gt;=5,IFERROR(VLOOKUP(AK243,Equip!$A:$N,13,FALSE),0)&lt;=9),INT(VLOOKUP(AK243,Equip!$A:$N,6,FALSE)*SQRT(AO243)),0)</f>
        <v>0</v>
      </c>
      <c r="AU243">
        <f>IF(AND(IFERROR(VLOOKUP(AL243,Equip!$A:$N,13,FALSE),0)&gt;=5,IFERROR(VLOOKUP(AL243,Equip!$A:$N,13,FALSE),0)&lt;=9),INT(VLOOKUP(AL243,Equip!$A:$N,6,FALSE)*SQRT(AP243)),0)</f>
        <v>0</v>
      </c>
      <c r="AV243">
        <f>IF(AND(IFERROR(VLOOKUP(AM243,Equip!$A:$N,13,FALSE),0)&gt;=5,IFERROR(VLOOKUP(AM243,Equip!$A:$N,13,FALSE),0)&lt;=9),INT(VLOOKUP(AM243,Equip!$A:$N,6,FALSE)*SQRT(AQ243)),0)</f>
        <v>0</v>
      </c>
      <c r="AW243">
        <f t="shared" si="564"/>
        <v>0</v>
      </c>
      <c r="AX243">
        <f t="shared" si="565"/>
        <v>319</v>
      </c>
    </row>
    <row r="244" spans="1:50">
      <c r="A244">
        <v>93</v>
      </c>
      <c r="B244" t="s">
        <v>827</v>
      </c>
      <c r="C244" t="s">
        <v>827</v>
      </c>
      <c r="D244">
        <v>1</v>
      </c>
      <c r="E244">
        <f>E243</f>
        <v>1320</v>
      </c>
      <c r="F244">
        <f t="shared" ref="F244" si="717">F243</f>
        <v>760</v>
      </c>
      <c r="G244">
        <f t="shared" ref="G244" si="718">G243</f>
        <v>93</v>
      </c>
      <c r="H244">
        <f t="shared" ref="H244" si="719">H243</f>
        <v>1</v>
      </c>
      <c r="I244">
        <f t="shared" ref="I244" si="720">I243</f>
        <v>1</v>
      </c>
      <c r="J244">
        <f t="shared" ref="J244" si="721">J243</f>
        <v>0</v>
      </c>
      <c r="K244">
        <v>1</v>
      </c>
      <c r="L244">
        <v>1</v>
      </c>
      <c r="M244">
        <v>32</v>
      </c>
      <c r="N244">
        <v>32</v>
      </c>
      <c r="O244">
        <v>15</v>
      </c>
      <c r="P244">
        <v>17</v>
      </c>
      <c r="Q244">
        <v>33</v>
      </c>
      <c r="R244">
        <v>55</v>
      </c>
      <c r="S244">
        <v>19</v>
      </c>
      <c r="T244">
        <v>33</v>
      </c>
      <c r="U244">
        <f t="shared" ref="U244" si="722">U243</f>
        <v>10</v>
      </c>
      <c r="V244">
        <v>14</v>
      </c>
      <c r="W244">
        <f t="shared" ref="W244" si="723">W243</f>
        <v>1</v>
      </c>
      <c r="X244">
        <v>12</v>
      </c>
      <c r="Y244">
        <f t="shared" ref="Y244" si="724">Y243</f>
        <v>0</v>
      </c>
      <c r="Z244">
        <v>15</v>
      </c>
      <c r="AA244">
        <v>20</v>
      </c>
      <c r="AB244">
        <v>49</v>
      </c>
      <c r="AC244">
        <v>79</v>
      </c>
      <c r="AD244">
        <v>49</v>
      </c>
      <c r="AE244">
        <v>49</v>
      </c>
      <c r="AF244">
        <v>59</v>
      </c>
      <c r="AG244">
        <v>89</v>
      </c>
      <c r="AH244">
        <v>59</v>
      </c>
      <c r="AI244">
        <v>39</v>
      </c>
      <c r="AJ244">
        <v>3</v>
      </c>
      <c r="AK244">
        <v>15</v>
      </c>
      <c r="AL244">
        <v>0</v>
      </c>
      <c r="AM244">
        <v>-1</v>
      </c>
      <c r="AN244">
        <v>0</v>
      </c>
      <c r="AO244">
        <v>0</v>
      </c>
      <c r="AP244">
        <v>0</v>
      </c>
      <c r="AQ244">
        <v>0</v>
      </c>
      <c r="AR244">
        <f t="shared" si="575"/>
        <v>0</v>
      </c>
      <c r="AS244">
        <f>IF(AND(IFERROR(VLOOKUP(AJ244,Equip!$A:$N,13,FALSE),0)&gt;=5,IFERROR(VLOOKUP(AJ244,Equip!$A:$N,13,FALSE),0)&lt;=9),INT(VLOOKUP(AJ244,Equip!$A:$N,6,FALSE)*SQRT(AN244)),0)</f>
        <v>0</v>
      </c>
      <c r="AT244">
        <f>IF(AND(IFERROR(VLOOKUP(AK244,Equip!$A:$N,13,FALSE),0)&gt;=5,IFERROR(VLOOKUP(AK244,Equip!$A:$N,13,FALSE),0)&lt;=9),INT(VLOOKUP(AK244,Equip!$A:$N,6,FALSE)*SQRT(AO244)),0)</f>
        <v>0</v>
      </c>
      <c r="AU244">
        <f>IF(AND(IFERROR(VLOOKUP(AL244,Equip!$A:$N,13,FALSE),0)&gt;=5,IFERROR(VLOOKUP(AL244,Equip!$A:$N,13,FALSE),0)&lt;=9),INT(VLOOKUP(AL244,Equip!$A:$N,6,FALSE)*SQRT(AP244)),0)</f>
        <v>0</v>
      </c>
      <c r="AV244">
        <f>IF(AND(IFERROR(VLOOKUP(AM244,Equip!$A:$N,13,FALSE),0)&gt;=5,IFERROR(VLOOKUP(AM244,Equip!$A:$N,13,FALSE),0)&lt;=9),INT(VLOOKUP(AM244,Equip!$A:$N,6,FALSE)*SQRT(AQ244)),0)</f>
        <v>0</v>
      </c>
      <c r="AW244">
        <f t="shared" si="564"/>
        <v>0</v>
      </c>
      <c r="AX244">
        <f t="shared" si="565"/>
        <v>445</v>
      </c>
    </row>
    <row r="245" spans="1:50">
      <c r="A245">
        <v>94</v>
      </c>
      <c r="B245" t="s">
        <v>828</v>
      </c>
      <c r="C245" t="s">
        <v>828</v>
      </c>
      <c r="D245">
        <v>0</v>
      </c>
      <c r="E245">
        <v>1783</v>
      </c>
      <c r="F245">
        <v>991</v>
      </c>
      <c r="G245">
        <v>94</v>
      </c>
      <c r="H245">
        <v>2</v>
      </c>
      <c r="I245">
        <v>1</v>
      </c>
      <c r="J245">
        <v>3</v>
      </c>
      <c r="K245">
        <v>9</v>
      </c>
      <c r="L245">
        <v>4</v>
      </c>
      <c r="M245">
        <v>32</v>
      </c>
      <c r="N245">
        <v>32</v>
      </c>
      <c r="O245">
        <v>0</v>
      </c>
      <c r="P245">
        <v>19</v>
      </c>
      <c r="Q245">
        <v>0</v>
      </c>
      <c r="R245">
        <v>28</v>
      </c>
      <c r="S245">
        <v>14</v>
      </c>
      <c r="T245">
        <v>0</v>
      </c>
      <c r="U245">
        <v>10</v>
      </c>
      <c r="V245">
        <v>34</v>
      </c>
      <c r="W245">
        <v>1</v>
      </c>
      <c r="X245">
        <v>10</v>
      </c>
      <c r="Y245">
        <v>0</v>
      </c>
      <c r="Z245">
        <v>35</v>
      </c>
      <c r="AA245">
        <v>35</v>
      </c>
      <c r="AB245">
        <v>19</v>
      </c>
      <c r="AC245">
        <v>0</v>
      </c>
      <c r="AD245">
        <v>29</v>
      </c>
      <c r="AE245">
        <v>39</v>
      </c>
      <c r="AF245">
        <v>49</v>
      </c>
      <c r="AG245">
        <v>49</v>
      </c>
      <c r="AH245">
        <v>0</v>
      </c>
      <c r="AI245">
        <v>69</v>
      </c>
      <c r="AJ245">
        <v>23</v>
      </c>
      <c r="AK245">
        <v>16</v>
      </c>
      <c r="AL245">
        <v>0</v>
      </c>
      <c r="AM245">
        <v>-1</v>
      </c>
      <c r="AN245">
        <v>18</v>
      </c>
      <c r="AO245">
        <v>9</v>
      </c>
      <c r="AP245">
        <v>3</v>
      </c>
      <c r="AQ245">
        <v>0</v>
      </c>
      <c r="AR245">
        <f t="shared" si="575"/>
        <v>30</v>
      </c>
      <c r="AS245">
        <f>IF(AND(IFERROR(VLOOKUP(AJ245,Equip!$A:$N,13,FALSE),0)&gt;=5,IFERROR(VLOOKUP(AJ245,Equip!$A:$N,13,FALSE),0)&lt;=9),INT(VLOOKUP(AJ245,Equip!$A:$N,6,FALSE)*SQRT(AN245)),0)</f>
        <v>0</v>
      </c>
      <c r="AT245">
        <f>IF(AND(IFERROR(VLOOKUP(AK245,Equip!$A:$N,13,FALSE),0)&gt;=5,IFERROR(VLOOKUP(AK245,Equip!$A:$N,13,FALSE),0)&lt;=9),INT(VLOOKUP(AK245,Equip!$A:$N,6,FALSE)*SQRT(AO245)),0)</f>
        <v>0</v>
      </c>
      <c r="AU245">
        <f>IF(AND(IFERROR(VLOOKUP(AL245,Equip!$A:$N,13,FALSE),0)&gt;=5,IFERROR(VLOOKUP(AL245,Equip!$A:$N,13,FALSE),0)&lt;=9),INT(VLOOKUP(AL245,Equip!$A:$N,6,FALSE)*SQRT(AP245)),0)</f>
        <v>0</v>
      </c>
      <c r="AV245">
        <f>IF(AND(IFERROR(VLOOKUP(AM245,Equip!$A:$N,13,FALSE),0)&gt;=5,IFERROR(VLOOKUP(AM245,Equip!$A:$N,13,FALSE),0)&lt;=9),INT(VLOOKUP(AM245,Equip!$A:$N,6,FALSE)*SQRT(AQ245)),0)</f>
        <v>0</v>
      </c>
      <c r="AW245">
        <f t="shared" si="564"/>
        <v>0</v>
      </c>
      <c r="AX245">
        <f t="shared" si="565"/>
        <v>237</v>
      </c>
    </row>
    <row r="246" spans="1:50">
      <c r="A246">
        <v>94</v>
      </c>
      <c r="B246" t="s">
        <v>828</v>
      </c>
      <c r="C246" t="s">
        <v>828</v>
      </c>
      <c r="D246">
        <v>1</v>
      </c>
      <c r="E246">
        <f>E245</f>
        <v>1783</v>
      </c>
      <c r="F246">
        <f t="shared" ref="F246" si="725">F245</f>
        <v>991</v>
      </c>
      <c r="G246">
        <f t="shared" ref="G246" si="726">G245</f>
        <v>94</v>
      </c>
      <c r="H246">
        <f t="shared" ref="H246" si="727">H245</f>
        <v>2</v>
      </c>
      <c r="I246">
        <f t="shared" ref="I246" si="728">I245</f>
        <v>1</v>
      </c>
      <c r="J246">
        <f t="shared" ref="J246" si="729">J245</f>
        <v>3</v>
      </c>
      <c r="K246">
        <v>9</v>
      </c>
      <c r="L246">
        <v>4</v>
      </c>
      <c r="M246">
        <v>45</v>
      </c>
      <c r="N246">
        <v>45</v>
      </c>
      <c r="O246">
        <v>6</v>
      </c>
      <c r="P246">
        <v>29</v>
      </c>
      <c r="Q246">
        <v>0</v>
      </c>
      <c r="R246">
        <v>35</v>
      </c>
      <c r="S246">
        <v>21</v>
      </c>
      <c r="T246">
        <v>0</v>
      </c>
      <c r="U246">
        <f t="shared" ref="U246" si="730">U245</f>
        <v>10</v>
      </c>
      <c r="V246">
        <v>46</v>
      </c>
      <c r="W246">
        <f t="shared" ref="W246" si="731">W245</f>
        <v>1</v>
      </c>
      <c r="X246">
        <v>12</v>
      </c>
      <c r="Y246">
        <f t="shared" ref="Y246" si="732">Y245</f>
        <v>0</v>
      </c>
      <c r="Z246">
        <v>40</v>
      </c>
      <c r="AA246">
        <v>40</v>
      </c>
      <c r="AB246">
        <v>29</v>
      </c>
      <c r="AC246">
        <v>0</v>
      </c>
      <c r="AD246">
        <v>39</v>
      </c>
      <c r="AE246">
        <v>59</v>
      </c>
      <c r="AF246">
        <v>59</v>
      </c>
      <c r="AG246">
        <v>59</v>
      </c>
      <c r="AH246">
        <v>0</v>
      </c>
      <c r="AI246">
        <v>79</v>
      </c>
      <c r="AJ246">
        <v>21</v>
      </c>
      <c r="AK246">
        <v>24</v>
      </c>
      <c r="AL246">
        <v>16</v>
      </c>
      <c r="AM246">
        <v>0</v>
      </c>
      <c r="AN246">
        <v>18</v>
      </c>
      <c r="AO246">
        <v>12</v>
      </c>
      <c r="AP246">
        <v>12</v>
      </c>
      <c r="AQ246">
        <v>6</v>
      </c>
      <c r="AR246">
        <f t="shared" si="575"/>
        <v>48</v>
      </c>
      <c r="AS246">
        <f>IF(AND(IFERROR(VLOOKUP(AJ246,Equip!$A:$N,13,FALSE),0)&gt;=5,IFERROR(VLOOKUP(AJ246,Equip!$A:$N,13,FALSE),0)&lt;=9),INT(VLOOKUP(AJ246,Equip!$A:$N,6,FALSE)*SQRT(AN246)),0)</f>
        <v>0</v>
      </c>
      <c r="AT246">
        <f>IF(AND(IFERROR(VLOOKUP(AK246,Equip!$A:$N,13,FALSE),0)&gt;=5,IFERROR(VLOOKUP(AK246,Equip!$A:$N,13,FALSE),0)&lt;=9),INT(VLOOKUP(AK246,Equip!$A:$N,6,FALSE)*SQRT(AO246)),0)</f>
        <v>0</v>
      </c>
      <c r="AU246">
        <f>IF(AND(IFERROR(VLOOKUP(AL246,Equip!$A:$N,13,FALSE),0)&gt;=5,IFERROR(VLOOKUP(AL246,Equip!$A:$N,13,FALSE),0)&lt;=9),INT(VLOOKUP(AL246,Equip!$A:$N,6,FALSE)*SQRT(AP246)),0)</f>
        <v>0</v>
      </c>
      <c r="AV246">
        <f>IF(AND(IFERROR(VLOOKUP(AM246,Equip!$A:$N,13,FALSE),0)&gt;=5,IFERROR(VLOOKUP(AM246,Equip!$A:$N,13,FALSE),0)&lt;=9),INT(VLOOKUP(AM246,Equip!$A:$N,6,FALSE)*SQRT(AQ246)),0)</f>
        <v>0</v>
      </c>
      <c r="AW246">
        <f t="shared" si="564"/>
        <v>0</v>
      </c>
      <c r="AX246">
        <f t="shared" si="565"/>
        <v>310</v>
      </c>
    </row>
    <row r="247" spans="1:50">
      <c r="A247">
        <v>106</v>
      </c>
      <c r="B247" t="s">
        <v>829</v>
      </c>
      <c r="C247" t="s">
        <v>829</v>
      </c>
      <c r="D247">
        <v>0</v>
      </c>
      <c r="E247">
        <v>2404</v>
      </c>
      <c r="F247">
        <v>1302</v>
      </c>
      <c r="G247">
        <v>106</v>
      </c>
      <c r="H247">
        <v>2</v>
      </c>
      <c r="I247">
        <v>1</v>
      </c>
      <c r="J247">
        <v>6</v>
      </c>
      <c r="K247">
        <v>12</v>
      </c>
      <c r="L247">
        <v>4</v>
      </c>
      <c r="M247">
        <v>62</v>
      </c>
      <c r="N247">
        <v>62</v>
      </c>
      <c r="O247">
        <v>0</v>
      </c>
      <c r="P247">
        <v>33</v>
      </c>
      <c r="Q247">
        <v>0</v>
      </c>
      <c r="R247">
        <v>36</v>
      </c>
      <c r="S247">
        <v>29</v>
      </c>
      <c r="T247">
        <v>0</v>
      </c>
      <c r="U247">
        <v>10</v>
      </c>
      <c r="V247">
        <v>44</v>
      </c>
      <c r="W247">
        <v>1</v>
      </c>
      <c r="X247">
        <v>10</v>
      </c>
      <c r="Y247">
        <v>0</v>
      </c>
      <c r="Z247">
        <v>55</v>
      </c>
      <c r="AA247">
        <v>55</v>
      </c>
      <c r="AB247">
        <v>39</v>
      </c>
      <c r="AC247">
        <v>0</v>
      </c>
      <c r="AD247">
        <v>69</v>
      </c>
      <c r="AE247">
        <v>49</v>
      </c>
      <c r="AF247">
        <v>49</v>
      </c>
      <c r="AG247">
        <v>59</v>
      </c>
      <c r="AH247">
        <v>0</v>
      </c>
      <c r="AI247">
        <v>69</v>
      </c>
      <c r="AJ247">
        <v>20</v>
      </c>
      <c r="AK247">
        <v>23</v>
      </c>
      <c r="AL247">
        <v>16</v>
      </c>
      <c r="AM247">
        <v>0</v>
      </c>
      <c r="AN247">
        <v>21</v>
      </c>
      <c r="AO247">
        <v>21</v>
      </c>
      <c r="AP247">
        <v>21</v>
      </c>
      <c r="AQ247">
        <v>12</v>
      </c>
      <c r="AR247">
        <f t="shared" si="575"/>
        <v>75</v>
      </c>
      <c r="AS247">
        <f>IF(AND(IFERROR(VLOOKUP(AJ247,Equip!$A:$N,13,FALSE),0)&gt;=5,IFERROR(VLOOKUP(AJ247,Equip!$A:$N,13,FALSE),0)&lt;=9),INT(VLOOKUP(AJ247,Equip!$A:$N,6,FALSE)*SQRT(AN247)),0)</f>
        <v>0</v>
      </c>
      <c r="AT247">
        <f>IF(AND(IFERROR(VLOOKUP(AK247,Equip!$A:$N,13,FALSE),0)&gt;=5,IFERROR(VLOOKUP(AK247,Equip!$A:$N,13,FALSE),0)&lt;=9),INT(VLOOKUP(AK247,Equip!$A:$N,6,FALSE)*SQRT(AO247)),0)</f>
        <v>0</v>
      </c>
      <c r="AU247">
        <f>IF(AND(IFERROR(VLOOKUP(AL247,Equip!$A:$N,13,FALSE),0)&gt;=5,IFERROR(VLOOKUP(AL247,Equip!$A:$N,13,FALSE),0)&lt;=9),INT(VLOOKUP(AL247,Equip!$A:$N,6,FALSE)*SQRT(AP247)),0)</f>
        <v>0</v>
      </c>
      <c r="AV247">
        <f>IF(AND(IFERROR(VLOOKUP(AM247,Equip!$A:$N,13,FALSE),0)&gt;=5,IFERROR(VLOOKUP(AM247,Equip!$A:$N,13,FALSE),0)&lt;=9),INT(VLOOKUP(AM247,Equip!$A:$N,6,FALSE)*SQRT(AQ247)),0)</f>
        <v>0</v>
      </c>
      <c r="AW247">
        <f t="shared" si="564"/>
        <v>0</v>
      </c>
      <c r="AX247">
        <f t="shared" si="565"/>
        <v>347</v>
      </c>
    </row>
    <row r="248" spans="1:50">
      <c r="A248">
        <v>106</v>
      </c>
      <c r="B248" t="s">
        <v>829</v>
      </c>
      <c r="C248" t="s">
        <v>829</v>
      </c>
      <c r="D248">
        <v>1</v>
      </c>
      <c r="E248">
        <f t="shared" ref="E248:E250" si="733">E247</f>
        <v>2404</v>
      </c>
      <c r="F248">
        <f t="shared" ref="F248:F250" si="734">F247</f>
        <v>1302</v>
      </c>
      <c r="G248">
        <f t="shared" ref="G248:G250" si="735">G247</f>
        <v>106</v>
      </c>
      <c r="H248">
        <f t="shared" ref="H248:H250" si="736">H247</f>
        <v>2</v>
      </c>
      <c r="I248">
        <f t="shared" ref="I248:I250" si="737">I247</f>
        <v>1</v>
      </c>
      <c r="J248">
        <f t="shared" ref="J248:J250" si="738">J247</f>
        <v>6</v>
      </c>
      <c r="K248">
        <v>12</v>
      </c>
      <c r="L248">
        <v>4</v>
      </c>
      <c r="M248">
        <v>75</v>
      </c>
      <c r="N248">
        <v>75</v>
      </c>
      <c r="O248">
        <v>5</v>
      </c>
      <c r="P248">
        <v>46</v>
      </c>
      <c r="Q248">
        <v>0</v>
      </c>
      <c r="R248">
        <v>50</v>
      </c>
      <c r="S248">
        <v>50</v>
      </c>
      <c r="T248">
        <v>0</v>
      </c>
      <c r="U248">
        <f t="shared" ref="U248:U250" si="739">U247</f>
        <v>10</v>
      </c>
      <c r="V248">
        <v>60</v>
      </c>
      <c r="W248">
        <f t="shared" ref="W248" si="740">W247</f>
        <v>1</v>
      </c>
      <c r="X248">
        <v>12</v>
      </c>
      <c r="Y248">
        <f t="shared" ref="Y248:Y250" si="741">Y247</f>
        <v>0</v>
      </c>
      <c r="Z248">
        <v>65</v>
      </c>
      <c r="AA248">
        <v>70</v>
      </c>
      <c r="AB248">
        <v>39</v>
      </c>
      <c r="AC248">
        <v>0</v>
      </c>
      <c r="AD248">
        <v>79</v>
      </c>
      <c r="AE248">
        <v>72</v>
      </c>
      <c r="AF248">
        <v>89</v>
      </c>
      <c r="AG248">
        <v>79</v>
      </c>
      <c r="AH248">
        <v>0</v>
      </c>
      <c r="AI248">
        <v>89</v>
      </c>
      <c r="AJ248">
        <v>21</v>
      </c>
      <c r="AK248">
        <v>24</v>
      </c>
      <c r="AL248">
        <v>51</v>
      </c>
      <c r="AM248">
        <v>0</v>
      </c>
      <c r="AN248">
        <v>24</v>
      </c>
      <c r="AO248">
        <v>24</v>
      </c>
      <c r="AP248">
        <v>24</v>
      </c>
      <c r="AQ248">
        <v>12</v>
      </c>
      <c r="AR248">
        <f t="shared" si="575"/>
        <v>84</v>
      </c>
      <c r="AS248">
        <f>IF(AND(IFERROR(VLOOKUP(AJ248,Equip!$A:$N,13,FALSE),0)&gt;=5,IFERROR(VLOOKUP(AJ248,Equip!$A:$N,13,FALSE),0)&lt;=9),INT(VLOOKUP(AJ248,Equip!$A:$N,6,FALSE)*SQRT(AN248)),0)</f>
        <v>0</v>
      </c>
      <c r="AT248">
        <f>IF(AND(IFERROR(VLOOKUP(AK248,Equip!$A:$N,13,FALSE),0)&gt;=5,IFERROR(VLOOKUP(AK248,Equip!$A:$N,13,FALSE),0)&lt;=9),INT(VLOOKUP(AK248,Equip!$A:$N,6,FALSE)*SQRT(AO248)),0)</f>
        <v>0</v>
      </c>
      <c r="AU248">
        <f>IF(AND(IFERROR(VLOOKUP(AL248,Equip!$A:$N,13,FALSE),0)&gt;=5,IFERROR(VLOOKUP(AL248,Equip!$A:$N,13,FALSE),0)&lt;=9),INT(VLOOKUP(AL248,Equip!$A:$N,6,FALSE)*SQRT(AP248)),0)</f>
        <v>0</v>
      </c>
      <c r="AV248">
        <f>IF(AND(IFERROR(VLOOKUP(AM248,Equip!$A:$N,13,FALSE),0)&gt;=5,IFERROR(VLOOKUP(AM248,Equip!$A:$N,13,FALSE),0)&lt;=9),INT(VLOOKUP(AM248,Equip!$A:$N,6,FALSE)*SQRT(AQ248)),0)</f>
        <v>0</v>
      </c>
      <c r="AW248">
        <f t="shared" si="564"/>
        <v>0</v>
      </c>
      <c r="AX248">
        <f t="shared" si="565"/>
        <v>433</v>
      </c>
    </row>
    <row r="249" spans="1:50">
      <c r="A249">
        <v>106</v>
      </c>
      <c r="B249" t="s">
        <v>829</v>
      </c>
      <c r="C249" t="s">
        <v>829</v>
      </c>
      <c r="D249">
        <v>2</v>
      </c>
      <c r="E249">
        <f t="shared" si="733"/>
        <v>2404</v>
      </c>
      <c r="F249">
        <f t="shared" si="734"/>
        <v>1302</v>
      </c>
      <c r="G249">
        <f t="shared" si="735"/>
        <v>106</v>
      </c>
      <c r="H249">
        <f t="shared" si="736"/>
        <v>2</v>
      </c>
      <c r="I249">
        <f t="shared" si="737"/>
        <v>1</v>
      </c>
      <c r="J249">
        <f t="shared" si="738"/>
        <v>6</v>
      </c>
      <c r="K249">
        <v>12</v>
      </c>
      <c r="L249">
        <v>4</v>
      </c>
      <c r="M249">
        <v>77</v>
      </c>
      <c r="N249">
        <v>77</v>
      </c>
      <c r="O249">
        <v>20</v>
      </c>
      <c r="P249">
        <v>46</v>
      </c>
      <c r="Q249">
        <v>0</v>
      </c>
      <c r="R249">
        <v>75</v>
      </c>
      <c r="S249">
        <v>60</v>
      </c>
      <c r="T249">
        <v>0</v>
      </c>
      <c r="U249">
        <f t="shared" si="739"/>
        <v>10</v>
      </c>
      <c r="V249">
        <v>85</v>
      </c>
      <c r="W249">
        <v>2</v>
      </c>
      <c r="X249">
        <v>20</v>
      </c>
      <c r="Y249">
        <f t="shared" si="741"/>
        <v>0</v>
      </c>
      <c r="Z249">
        <v>90</v>
      </c>
      <c r="AA249">
        <v>85</v>
      </c>
      <c r="AB249">
        <v>63</v>
      </c>
      <c r="AC249">
        <v>0</v>
      </c>
      <c r="AD249">
        <v>88</v>
      </c>
      <c r="AE249">
        <v>77</v>
      </c>
      <c r="AF249">
        <v>97</v>
      </c>
      <c r="AG249">
        <v>84</v>
      </c>
      <c r="AH249">
        <v>0</v>
      </c>
      <c r="AI249">
        <v>93</v>
      </c>
      <c r="AJ249">
        <v>0</v>
      </c>
      <c r="AK249">
        <v>0</v>
      </c>
      <c r="AL249">
        <v>0</v>
      </c>
      <c r="AM249">
        <v>0</v>
      </c>
      <c r="AN249">
        <v>27</v>
      </c>
      <c r="AO249">
        <v>27</v>
      </c>
      <c r="AP249">
        <v>27</v>
      </c>
      <c r="AQ249">
        <v>12</v>
      </c>
      <c r="AR249">
        <f t="shared" si="575"/>
        <v>93</v>
      </c>
      <c r="AS249">
        <f>IF(AND(IFERROR(VLOOKUP(AJ249,Equip!$A:$N,13,FALSE),0)&gt;=5,IFERROR(VLOOKUP(AJ249,Equip!$A:$N,13,FALSE),0)&lt;=9),INT(VLOOKUP(AJ249,Equip!$A:$N,6,FALSE)*SQRT(AN249)),0)</f>
        <v>0</v>
      </c>
      <c r="AT249">
        <f>IF(AND(IFERROR(VLOOKUP(AK249,Equip!$A:$N,13,FALSE),0)&gt;=5,IFERROR(VLOOKUP(AK249,Equip!$A:$N,13,FALSE),0)&lt;=9),INT(VLOOKUP(AK249,Equip!$A:$N,6,FALSE)*SQRT(AO249)),0)</f>
        <v>0</v>
      </c>
      <c r="AU249">
        <f>IF(AND(IFERROR(VLOOKUP(AL249,Equip!$A:$N,13,FALSE),0)&gt;=5,IFERROR(VLOOKUP(AL249,Equip!$A:$N,13,FALSE),0)&lt;=9),INT(VLOOKUP(AL249,Equip!$A:$N,6,FALSE)*SQRT(AP249)),0)</f>
        <v>0</v>
      </c>
      <c r="AV249">
        <f>IF(AND(IFERROR(VLOOKUP(AM249,Equip!$A:$N,13,FALSE),0)&gt;=5,IFERROR(VLOOKUP(AM249,Equip!$A:$N,13,FALSE),0)&lt;=9),INT(VLOOKUP(AM249,Equip!$A:$N,6,FALSE)*SQRT(AQ249)),0)</f>
        <v>0</v>
      </c>
      <c r="AW249">
        <f t="shared" si="564"/>
        <v>0</v>
      </c>
      <c r="AX249">
        <f t="shared" si="565"/>
        <v>482</v>
      </c>
    </row>
    <row r="250" spans="1:50">
      <c r="A250">
        <v>106</v>
      </c>
      <c r="B250" t="s">
        <v>829</v>
      </c>
      <c r="C250" t="s">
        <v>829</v>
      </c>
      <c r="D250">
        <v>3</v>
      </c>
      <c r="E250">
        <f t="shared" si="733"/>
        <v>2404</v>
      </c>
      <c r="F250">
        <f t="shared" si="734"/>
        <v>1302</v>
      </c>
      <c r="G250">
        <f t="shared" si="735"/>
        <v>106</v>
      </c>
      <c r="H250">
        <f t="shared" si="736"/>
        <v>2</v>
      </c>
      <c r="I250">
        <f t="shared" si="737"/>
        <v>1</v>
      </c>
      <c r="J250">
        <f t="shared" si="738"/>
        <v>6</v>
      </c>
      <c r="K250">
        <v>11</v>
      </c>
      <c r="L250">
        <v>4</v>
      </c>
      <c r="M250">
        <v>78</v>
      </c>
      <c r="N250">
        <v>78</v>
      </c>
      <c r="O250">
        <v>24</v>
      </c>
      <c r="P250">
        <v>46</v>
      </c>
      <c r="Q250">
        <v>0</v>
      </c>
      <c r="R250">
        <v>76</v>
      </c>
      <c r="S250">
        <v>62</v>
      </c>
      <c r="T250">
        <v>0</v>
      </c>
      <c r="U250">
        <f t="shared" si="739"/>
        <v>10</v>
      </c>
      <c r="V250">
        <v>85</v>
      </c>
      <c r="W250">
        <v>2</v>
      </c>
      <c r="X250">
        <v>20</v>
      </c>
      <c r="Y250">
        <f t="shared" si="741"/>
        <v>0</v>
      </c>
      <c r="Z250">
        <v>100</v>
      </c>
      <c r="AA250">
        <v>85</v>
      </c>
      <c r="AB250">
        <v>70</v>
      </c>
      <c r="AC250">
        <v>0</v>
      </c>
      <c r="AD250">
        <v>88</v>
      </c>
      <c r="AE250">
        <v>83</v>
      </c>
      <c r="AF250">
        <v>97</v>
      </c>
      <c r="AG250">
        <v>81</v>
      </c>
      <c r="AH250">
        <v>0</v>
      </c>
      <c r="AI250">
        <v>90</v>
      </c>
      <c r="AJ250">
        <v>0</v>
      </c>
      <c r="AK250">
        <v>0</v>
      </c>
      <c r="AL250">
        <v>0</v>
      </c>
      <c r="AM250">
        <v>0</v>
      </c>
      <c r="AN250">
        <v>34</v>
      </c>
      <c r="AO250">
        <v>21</v>
      </c>
      <c r="AP250">
        <v>12</v>
      </c>
      <c r="AQ250">
        <v>9</v>
      </c>
      <c r="AR250">
        <f t="shared" si="575"/>
        <v>76</v>
      </c>
      <c r="AS250">
        <f>IF(AND(IFERROR(VLOOKUP(AJ250,Equip!$A:$N,13,FALSE),0)&gt;=5,IFERROR(VLOOKUP(AJ250,Equip!$A:$N,13,FALSE),0)&lt;=9),INT(VLOOKUP(AJ250,Equip!$A:$N,6,FALSE)*SQRT(AN250)),0)</f>
        <v>0</v>
      </c>
      <c r="AT250">
        <f>IF(AND(IFERROR(VLOOKUP(AK250,Equip!$A:$N,13,FALSE),0)&gt;=5,IFERROR(VLOOKUP(AK250,Equip!$A:$N,13,FALSE),0)&lt;=9),INT(VLOOKUP(AK250,Equip!$A:$N,6,FALSE)*SQRT(AO250)),0)</f>
        <v>0</v>
      </c>
      <c r="AU250">
        <f>IF(AND(IFERROR(VLOOKUP(AL250,Equip!$A:$N,13,FALSE),0)&gt;=5,IFERROR(VLOOKUP(AL250,Equip!$A:$N,13,FALSE),0)&lt;=9),INT(VLOOKUP(AL250,Equip!$A:$N,6,FALSE)*SQRT(AP250)),0)</f>
        <v>0</v>
      </c>
      <c r="AV250">
        <f>IF(AND(IFERROR(VLOOKUP(AM250,Equip!$A:$N,13,FALSE),0)&gt;=5,IFERROR(VLOOKUP(AM250,Equip!$A:$N,13,FALSE),0)&lt;=9),INT(VLOOKUP(AM250,Equip!$A:$N,6,FALSE)*SQRT(AQ250)),0)</f>
        <v>0</v>
      </c>
      <c r="AW250">
        <f t="shared" si="564"/>
        <v>0</v>
      </c>
      <c r="AX250">
        <f t="shared" si="565"/>
        <v>490</v>
      </c>
    </row>
    <row r="251" spans="1:50">
      <c r="A251">
        <v>107</v>
      </c>
      <c r="B251" t="s">
        <v>830</v>
      </c>
      <c r="C251" t="s">
        <v>830</v>
      </c>
      <c r="D251">
        <v>0</v>
      </c>
      <c r="E251">
        <v>2404</v>
      </c>
      <c r="F251">
        <v>1302</v>
      </c>
      <c r="G251">
        <v>107</v>
      </c>
      <c r="H251">
        <v>1</v>
      </c>
      <c r="I251">
        <v>1</v>
      </c>
      <c r="J251">
        <v>2</v>
      </c>
      <c r="K251">
        <v>12</v>
      </c>
      <c r="L251">
        <v>4</v>
      </c>
      <c r="M251">
        <v>62</v>
      </c>
      <c r="N251">
        <v>62</v>
      </c>
      <c r="O251">
        <v>0</v>
      </c>
      <c r="P251">
        <v>33</v>
      </c>
      <c r="Q251">
        <v>0</v>
      </c>
      <c r="R251">
        <v>39</v>
      </c>
      <c r="S251">
        <v>29</v>
      </c>
      <c r="T251">
        <v>0</v>
      </c>
      <c r="U251">
        <v>10</v>
      </c>
      <c r="V251">
        <v>44</v>
      </c>
      <c r="W251">
        <v>1</v>
      </c>
      <c r="X251">
        <v>40</v>
      </c>
      <c r="Y251">
        <v>0</v>
      </c>
      <c r="Z251">
        <v>55</v>
      </c>
      <c r="AA251">
        <v>55</v>
      </c>
      <c r="AB251">
        <v>39</v>
      </c>
      <c r="AC251">
        <v>0</v>
      </c>
      <c r="AD251">
        <v>69</v>
      </c>
      <c r="AE251">
        <v>49</v>
      </c>
      <c r="AF251">
        <v>89</v>
      </c>
      <c r="AG251">
        <v>69</v>
      </c>
      <c r="AH251">
        <v>0</v>
      </c>
      <c r="AI251">
        <v>69</v>
      </c>
      <c r="AJ251">
        <v>20</v>
      </c>
      <c r="AK251">
        <v>23</v>
      </c>
      <c r="AL251">
        <v>16</v>
      </c>
      <c r="AM251">
        <v>0</v>
      </c>
      <c r="AN251">
        <v>21</v>
      </c>
      <c r="AO251">
        <v>21</v>
      </c>
      <c r="AP251">
        <v>21</v>
      </c>
      <c r="AQ251">
        <v>12</v>
      </c>
      <c r="AR251">
        <f t="shared" si="575"/>
        <v>75</v>
      </c>
      <c r="AS251">
        <f>IF(AND(IFERROR(VLOOKUP(AJ251,Equip!$A:$N,13,FALSE),0)&gt;=5,IFERROR(VLOOKUP(AJ251,Equip!$A:$N,13,FALSE),0)&lt;=9),INT(VLOOKUP(AJ251,Equip!$A:$N,6,FALSE)*SQRT(AN251)),0)</f>
        <v>0</v>
      </c>
      <c r="AT251">
        <f>IF(AND(IFERROR(VLOOKUP(AK251,Equip!$A:$N,13,FALSE),0)&gt;=5,IFERROR(VLOOKUP(AK251,Equip!$A:$N,13,FALSE),0)&lt;=9),INT(VLOOKUP(AK251,Equip!$A:$N,6,FALSE)*SQRT(AO251)),0)</f>
        <v>0</v>
      </c>
      <c r="AU251">
        <f>IF(AND(IFERROR(VLOOKUP(AL251,Equip!$A:$N,13,FALSE),0)&gt;=5,IFERROR(VLOOKUP(AL251,Equip!$A:$N,13,FALSE),0)&lt;=9),INT(VLOOKUP(AL251,Equip!$A:$N,6,FALSE)*SQRT(AP251)),0)</f>
        <v>0</v>
      </c>
      <c r="AV251">
        <f>IF(AND(IFERROR(VLOOKUP(AM251,Equip!$A:$N,13,FALSE),0)&gt;=5,IFERROR(VLOOKUP(AM251,Equip!$A:$N,13,FALSE),0)&lt;=9),INT(VLOOKUP(AM251,Equip!$A:$N,6,FALSE)*SQRT(AQ251)),0)</f>
        <v>0</v>
      </c>
      <c r="AW251">
        <f t="shared" si="564"/>
        <v>0</v>
      </c>
      <c r="AX251">
        <f t="shared" si="565"/>
        <v>357</v>
      </c>
    </row>
    <row r="252" spans="1:50">
      <c r="A252">
        <v>107</v>
      </c>
      <c r="B252" t="s">
        <v>830</v>
      </c>
      <c r="C252" t="s">
        <v>830</v>
      </c>
      <c r="D252">
        <v>1</v>
      </c>
      <c r="E252">
        <f t="shared" ref="E252:E254" si="742">E251</f>
        <v>2404</v>
      </c>
      <c r="F252">
        <f t="shared" ref="F252:F254" si="743">F251</f>
        <v>1302</v>
      </c>
      <c r="G252">
        <f t="shared" ref="G252:G254" si="744">G251</f>
        <v>107</v>
      </c>
      <c r="H252">
        <f t="shared" ref="H252:H254" si="745">H251</f>
        <v>1</v>
      </c>
      <c r="I252">
        <f t="shared" ref="I252:I254" si="746">I251</f>
        <v>1</v>
      </c>
      <c r="J252">
        <f t="shared" ref="J252:J254" si="747">J251</f>
        <v>2</v>
      </c>
      <c r="K252">
        <v>12</v>
      </c>
      <c r="L252">
        <v>4</v>
      </c>
      <c r="M252">
        <v>75</v>
      </c>
      <c r="N252">
        <v>75</v>
      </c>
      <c r="O252">
        <v>8</v>
      </c>
      <c r="P252">
        <v>49</v>
      </c>
      <c r="Q252">
        <v>0</v>
      </c>
      <c r="R252">
        <v>51</v>
      </c>
      <c r="S252">
        <v>48</v>
      </c>
      <c r="T252">
        <v>0</v>
      </c>
      <c r="U252">
        <f t="shared" ref="U252:U254" si="748">U251</f>
        <v>10</v>
      </c>
      <c r="V252">
        <v>58</v>
      </c>
      <c r="W252">
        <f t="shared" ref="W252" si="749">W251</f>
        <v>1</v>
      </c>
      <c r="X252">
        <v>42</v>
      </c>
      <c r="Y252">
        <f t="shared" ref="Y252:Y254" si="750">Y251</f>
        <v>0</v>
      </c>
      <c r="Z252">
        <v>65</v>
      </c>
      <c r="AA252">
        <v>70</v>
      </c>
      <c r="AB252">
        <v>39</v>
      </c>
      <c r="AC252">
        <v>0</v>
      </c>
      <c r="AD252">
        <v>79</v>
      </c>
      <c r="AE252">
        <v>72</v>
      </c>
      <c r="AF252">
        <v>89</v>
      </c>
      <c r="AG252">
        <v>79</v>
      </c>
      <c r="AH252">
        <v>0</v>
      </c>
      <c r="AI252">
        <v>89</v>
      </c>
      <c r="AJ252">
        <v>21</v>
      </c>
      <c r="AK252">
        <v>24</v>
      </c>
      <c r="AL252">
        <v>51</v>
      </c>
      <c r="AM252">
        <v>0</v>
      </c>
      <c r="AN252">
        <v>24</v>
      </c>
      <c r="AO252">
        <v>24</v>
      </c>
      <c r="AP252">
        <v>24</v>
      </c>
      <c r="AQ252">
        <v>12</v>
      </c>
      <c r="AR252">
        <f t="shared" si="575"/>
        <v>84</v>
      </c>
      <c r="AS252">
        <f>IF(AND(IFERROR(VLOOKUP(AJ252,Equip!$A:$N,13,FALSE),0)&gt;=5,IFERROR(VLOOKUP(AJ252,Equip!$A:$N,13,FALSE),0)&lt;=9),INT(VLOOKUP(AJ252,Equip!$A:$N,6,FALSE)*SQRT(AN252)),0)</f>
        <v>0</v>
      </c>
      <c r="AT252">
        <f>IF(AND(IFERROR(VLOOKUP(AK252,Equip!$A:$N,13,FALSE),0)&gt;=5,IFERROR(VLOOKUP(AK252,Equip!$A:$N,13,FALSE),0)&lt;=9),INT(VLOOKUP(AK252,Equip!$A:$N,6,FALSE)*SQRT(AO252)),0)</f>
        <v>0</v>
      </c>
      <c r="AU252">
        <f>IF(AND(IFERROR(VLOOKUP(AL252,Equip!$A:$N,13,FALSE),0)&gt;=5,IFERROR(VLOOKUP(AL252,Equip!$A:$N,13,FALSE),0)&lt;=9),INT(VLOOKUP(AL252,Equip!$A:$N,6,FALSE)*SQRT(AP252)),0)</f>
        <v>0</v>
      </c>
      <c r="AV252">
        <f>IF(AND(IFERROR(VLOOKUP(AM252,Equip!$A:$N,13,FALSE),0)&gt;=5,IFERROR(VLOOKUP(AM252,Equip!$A:$N,13,FALSE),0)&lt;=9),INT(VLOOKUP(AM252,Equip!$A:$N,6,FALSE)*SQRT(AQ252)),0)</f>
        <v>0</v>
      </c>
      <c r="AW252">
        <f t="shared" si="564"/>
        <v>0</v>
      </c>
      <c r="AX252">
        <f t="shared" si="565"/>
        <v>433</v>
      </c>
    </row>
    <row r="253" spans="1:50">
      <c r="A253">
        <v>107</v>
      </c>
      <c r="B253" t="s">
        <v>830</v>
      </c>
      <c r="C253" t="s">
        <v>830</v>
      </c>
      <c r="D253">
        <v>2</v>
      </c>
      <c r="E253">
        <f t="shared" si="742"/>
        <v>2404</v>
      </c>
      <c r="F253">
        <f t="shared" si="743"/>
        <v>1302</v>
      </c>
      <c r="G253">
        <f t="shared" si="744"/>
        <v>107</v>
      </c>
      <c r="H253">
        <f t="shared" si="745"/>
        <v>1</v>
      </c>
      <c r="I253">
        <f t="shared" si="746"/>
        <v>1</v>
      </c>
      <c r="J253">
        <f t="shared" si="747"/>
        <v>2</v>
      </c>
      <c r="K253">
        <v>12</v>
      </c>
      <c r="L253">
        <v>4</v>
      </c>
      <c r="M253">
        <v>78</v>
      </c>
      <c r="N253">
        <v>78</v>
      </c>
      <c r="O253">
        <v>17</v>
      </c>
      <c r="P253">
        <v>49</v>
      </c>
      <c r="Q253">
        <v>0</v>
      </c>
      <c r="R253">
        <v>79</v>
      </c>
      <c r="S253">
        <v>65</v>
      </c>
      <c r="T253">
        <v>0</v>
      </c>
      <c r="U253">
        <f t="shared" si="748"/>
        <v>10</v>
      </c>
      <c r="V253">
        <v>83</v>
      </c>
      <c r="W253">
        <v>2</v>
      </c>
      <c r="X253">
        <v>50</v>
      </c>
      <c r="Y253">
        <f t="shared" si="750"/>
        <v>0</v>
      </c>
      <c r="Z253">
        <v>90</v>
      </c>
      <c r="AA253">
        <v>85</v>
      </c>
      <c r="AB253">
        <v>56</v>
      </c>
      <c r="AC253">
        <v>0</v>
      </c>
      <c r="AD253">
        <v>90</v>
      </c>
      <c r="AE253">
        <v>78</v>
      </c>
      <c r="AF253">
        <v>99</v>
      </c>
      <c r="AG253">
        <v>89</v>
      </c>
      <c r="AH253">
        <v>0</v>
      </c>
      <c r="AI253">
        <v>92</v>
      </c>
      <c r="AJ253">
        <v>0</v>
      </c>
      <c r="AK253">
        <v>0</v>
      </c>
      <c r="AL253">
        <v>0</v>
      </c>
      <c r="AM253">
        <v>0</v>
      </c>
      <c r="AN253">
        <v>28</v>
      </c>
      <c r="AO253">
        <v>26</v>
      </c>
      <c r="AP253">
        <v>26</v>
      </c>
      <c r="AQ253">
        <v>13</v>
      </c>
      <c r="AR253">
        <f t="shared" si="575"/>
        <v>93</v>
      </c>
      <c r="AS253">
        <f>IF(AND(IFERROR(VLOOKUP(AJ253,Equip!$A:$N,13,FALSE),0)&gt;=5,IFERROR(VLOOKUP(AJ253,Equip!$A:$N,13,FALSE),0)&lt;=9),INT(VLOOKUP(AJ253,Equip!$A:$N,6,FALSE)*SQRT(AN253)),0)</f>
        <v>0</v>
      </c>
      <c r="AT253">
        <f>IF(AND(IFERROR(VLOOKUP(AK253,Equip!$A:$N,13,FALSE),0)&gt;=5,IFERROR(VLOOKUP(AK253,Equip!$A:$N,13,FALSE),0)&lt;=9),INT(VLOOKUP(AK253,Equip!$A:$N,6,FALSE)*SQRT(AO253)),0)</f>
        <v>0</v>
      </c>
      <c r="AU253">
        <f>IF(AND(IFERROR(VLOOKUP(AL253,Equip!$A:$N,13,FALSE),0)&gt;=5,IFERROR(VLOOKUP(AL253,Equip!$A:$N,13,FALSE),0)&lt;=9),INT(VLOOKUP(AL253,Equip!$A:$N,6,FALSE)*SQRT(AP253)),0)</f>
        <v>0</v>
      </c>
      <c r="AV253">
        <f>IF(AND(IFERROR(VLOOKUP(AM253,Equip!$A:$N,13,FALSE),0)&gt;=5,IFERROR(VLOOKUP(AM253,Equip!$A:$N,13,FALSE),0)&lt;=9),INT(VLOOKUP(AM253,Equip!$A:$N,6,FALSE)*SQRT(AQ253)),0)</f>
        <v>0</v>
      </c>
      <c r="AW253">
        <f t="shared" si="564"/>
        <v>0</v>
      </c>
      <c r="AX253">
        <f t="shared" si="565"/>
        <v>483</v>
      </c>
    </row>
    <row r="254" spans="1:50">
      <c r="A254">
        <v>107</v>
      </c>
      <c r="B254" t="s">
        <v>830</v>
      </c>
      <c r="C254" t="s">
        <v>830</v>
      </c>
      <c r="D254">
        <v>3</v>
      </c>
      <c r="E254">
        <f t="shared" si="742"/>
        <v>2404</v>
      </c>
      <c r="F254">
        <f t="shared" si="743"/>
        <v>1302</v>
      </c>
      <c r="G254">
        <f t="shared" si="744"/>
        <v>107</v>
      </c>
      <c r="H254">
        <f t="shared" si="745"/>
        <v>1</v>
      </c>
      <c r="I254">
        <f t="shared" si="746"/>
        <v>1</v>
      </c>
      <c r="J254">
        <f t="shared" si="747"/>
        <v>2</v>
      </c>
      <c r="K254">
        <v>11</v>
      </c>
      <c r="L254">
        <v>4</v>
      </c>
      <c r="M254">
        <v>79</v>
      </c>
      <c r="N254">
        <v>79</v>
      </c>
      <c r="O254">
        <v>23</v>
      </c>
      <c r="P254">
        <v>49</v>
      </c>
      <c r="Q254">
        <v>0</v>
      </c>
      <c r="R254">
        <v>81</v>
      </c>
      <c r="S254">
        <v>67</v>
      </c>
      <c r="T254">
        <v>0</v>
      </c>
      <c r="U254">
        <f t="shared" si="748"/>
        <v>10</v>
      </c>
      <c r="V254">
        <v>86</v>
      </c>
      <c r="W254">
        <v>2</v>
      </c>
      <c r="X254">
        <v>50</v>
      </c>
      <c r="Y254">
        <f t="shared" si="750"/>
        <v>0</v>
      </c>
      <c r="Z254">
        <v>100</v>
      </c>
      <c r="AA254">
        <v>85</v>
      </c>
      <c r="AB254">
        <v>65</v>
      </c>
      <c r="AC254">
        <v>0</v>
      </c>
      <c r="AD254">
        <v>90</v>
      </c>
      <c r="AE254">
        <v>84</v>
      </c>
      <c r="AF254">
        <v>99</v>
      </c>
      <c r="AG254">
        <v>85</v>
      </c>
      <c r="AH254">
        <v>0</v>
      </c>
      <c r="AI254">
        <v>90</v>
      </c>
      <c r="AJ254">
        <v>0</v>
      </c>
      <c r="AK254">
        <v>0</v>
      </c>
      <c r="AL254">
        <v>0</v>
      </c>
      <c r="AM254">
        <v>0</v>
      </c>
      <c r="AN254">
        <v>34</v>
      </c>
      <c r="AO254">
        <v>24</v>
      </c>
      <c r="AP254">
        <v>12</v>
      </c>
      <c r="AQ254">
        <v>6</v>
      </c>
      <c r="AR254">
        <f t="shared" si="575"/>
        <v>76</v>
      </c>
      <c r="AS254">
        <f>IF(AND(IFERROR(VLOOKUP(AJ254,Equip!$A:$N,13,FALSE),0)&gt;=5,IFERROR(VLOOKUP(AJ254,Equip!$A:$N,13,FALSE),0)&lt;=9),INT(VLOOKUP(AJ254,Equip!$A:$N,6,FALSE)*SQRT(AN254)),0)</f>
        <v>0</v>
      </c>
      <c r="AT254">
        <f>IF(AND(IFERROR(VLOOKUP(AK254,Equip!$A:$N,13,FALSE),0)&gt;=5,IFERROR(VLOOKUP(AK254,Equip!$A:$N,13,FALSE),0)&lt;=9),INT(VLOOKUP(AK254,Equip!$A:$N,6,FALSE)*SQRT(AO254)),0)</f>
        <v>0</v>
      </c>
      <c r="AU254">
        <f>IF(AND(IFERROR(VLOOKUP(AL254,Equip!$A:$N,13,FALSE),0)&gt;=5,IFERROR(VLOOKUP(AL254,Equip!$A:$N,13,FALSE),0)&lt;=9),INT(VLOOKUP(AL254,Equip!$A:$N,6,FALSE)*SQRT(AP254)),0)</f>
        <v>0</v>
      </c>
      <c r="AV254">
        <f>IF(AND(IFERROR(VLOOKUP(AM254,Equip!$A:$N,13,FALSE),0)&gt;=5,IFERROR(VLOOKUP(AM254,Equip!$A:$N,13,FALSE),0)&lt;=9),INT(VLOOKUP(AM254,Equip!$A:$N,6,FALSE)*SQRT(AQ254)),0)</f>
        <v>0</v>
      </c>
      <c r="AW254">
        <f t="shared" si="564"/>
        <v>0</v>
      </c>
      <c r="AX254">
        <f t="shared" si="565"/>
        <v>493</v>
      </c>
    </row>
    <row r="255" spans="1:50">
      <c r="A255">
        <v>109</v>
      </c>
      <c r="B255" t="s">
        <v>831</v>
      </c>
      <c r="C255" t="s">
        <v>831</v>
      </c>
      <c r="D255">
        <v>0</v>
      </c>
      <c r="E255">
        <v>1627</v>
      </c>
      <c r="F255">
        <v>913</v>
      </c>
      <c r="G255">
        <v>109</v>
      </c>
      <c r="H255">
        <v>1</v>
      </c>
      <c r="I255">
        <v>1</v>
      </c>
      <c r="J255">
        <v>3</v>
      </c>
      <c r="K255">
        <v>2</v>
      </c>
      <c r="L255">
        <v>2</v>
      </c>
      <c r="M255">
        <v>26</v>
      </c>
      <c r="N255">
        <v>26</v>
      </c>
      <c r="O255">
        <v>14</v>
      </c>
      <c r="P255">
        <v>10</v>
      </c>
      <c r="Q255">
        <v>24</v>
      </c>
      <c r="R255">
        <v>38</v>
      </c>
      <c r="S255">
        <v>13</v>
      </c>
      <c r="T255">
        <v>20</v>
      </c>
      <c r="U255">
        <v>10</v>
      </c>
      <c r="V255">
        <v>8</v>
      </c>
      <c r="W255">
        <v>2</v>
      </c>
      <c r="X255">
        <v>12</v>
      </c>
      <c r="Y255">
        <v>0</v>
      </c>
      <c r="Z255">
        <v>25</v>
      </c>
      <c r="AA255">
        <v>25</v>
      </c>
      <c r="AB255">
        <v>39</v>
      </c>
      <c r="AC255">
        <v>79</v>
      </c>
      <c r="AD255">
        <v>49</v>
      </c>
      <c r="AE255">
        <v>29</v>
      </c>
      <c r="AF255">
        <v>49</v>
      </c>
      <c r="AG255">
        <v>69</v>
      </c>
      <c r="AH255">
        <v>59</v>
      </c>
      <c r="AI255">
        <v>39</v>
      </c>
      <c r="AJ255">
        <v>4</v>
      </c>
      <c r="AK255">
        <v>0</v>
      </c>
      <c r="AL255">
        <v>-1</v>
      </c>
      <c r="AM255">
        <v>-1</v>
      </c>
      <c r="AN255">
        <v>1</v>
      </c>
      <c r="AO255">
        <v>1</v>
      </c>
      <c r="AP255">
        <v>0</v>
      </c>
      <c r="AQ255">
        <v>0</v>
      </c>
      <c r="AR255">
        <f t="shared" si="575"/>
        <v>2</v>
      </c>
      <c r="AS255">
        <f>IF(AND(IFERROR(VLOOKUP(AJ255,Equip!$A:$N,13,FALSE),0)&gt;=5,IFERROR(VLOOKUP(AJ255,Equip!$A:$N,13,FALSE),0)&lt;=9),INT(VLOOKUP(AJ255,Equip!$A:$N,6,FALSE)*SQRT(AN255)),0)</f>
        <v>0</v>
      </c>
      <c r="AT255">
        <f>IF(AND(IFERROR(VLOOKUP(AK255,Equip!$A:$N,13,FALSE),0)&gt;=5,IFERROR(VLOOKUP(AK255,Equip!$A:$N,13,FALSE),0)&lt;=9),INT(VLOOKUP(AK255,Equip!$A:$N,6,FALSE)*SQRT(AO255)),0)</f>
        <v>0</v>
      </c>
      <c r="AU255">
        <f>IF(AND(IFERROR(VLOOKUP(AL255,Equip!$A:$N,13,FALSE),0)&gt;=5,IFERROR(VLOOKUP(AL255,Equip!$A:$N,13,FALSE),0)&lt;=9),INT(VLOOKUP(AL255,Equip!$A:$N,6,FALSE)*SQRT(AP255)),0)</f>
        <v>0</v>
      </c>
      <c r="AV255">
        <f>IF(AND(IFERROR(VLOOKUP(AM255,Equip!$A:$N,13,FALSE),0)&gt;=5,IFERROR(VLOOKUP(AM255,Equip!$A:$N,13,FALSE),0)&lt;=9),INT(VLOOKUP(AM255,Equip!$A:$N,6,FALSE)*SQRT(AQ255)),0)</f>
        <v>0</v>
      </c>
      <c r="AW255">
        <f t="shared" si="564"/>
        <v>0</v>
      </c>
      <c r="AX255">
        <f t="shared" si="565"/>
        <v>389</v>
      </c>
    </row>
    <row r="256" spans="1:50">
      <c r="A256">
        <v>109</v>
      </c>
      <c r="B256" t="s">
        <v>831</v>
      </c>
      <c r="C256" t="s">
        <v>831</v>
      </c>
      <c r="D256">
        <v>1</v>
      </c>
      <c r="E256">
        <f t="shared" ref="E256:E257" si="751">E255</f>
        <v>1627</v>
      </c>
      <c r="F256">
        <f t="shared" ref="F256:F257" si="752">F255</f>
        <v>913</v>
      </c>
      <c r="G256">
        <f t="shared" ref="G256:G257" si="753">G255</f>
        <v>109</v>
      </c>
      <c r="H256">
        <f t="shared" ref="H256:H257" si="754">H255</f>
        <v>1</v>
      </c>
      <c r="I256">
        <f t="shared" ref="I256:I257" si="755">I255</f>
        <v>1</v>
      </c>
      <c r="J256">
        <f t="shared" ref="J256:J257" si="756">J255</f>
        <v>3</v>
      </c>
      <c r="K256">
        <v>2</v>
      </c>
      <c r="L256">
        <v>2</v>
      </c>
      <c r="M256">
        <v>41</v>
      </c>
      <c r="N256">
        <v>41</v>
      </c>
      <c r="O256">
        <v>23</v>
      </c>
      <c r="P256">
        <v>32</v>
      </c>
      <c r="Q256">
        <v>28</v>
      </c>
      <c r="R256">
        <v>48</v>
      </c>
      <c r="S256">
        <v>19</v>
      </c>
      <c r="T256">
        <v>53</v>
      </c>
      <c r="U256">
        <f t="shared" ref="U256:U257" si="757">U255</f>
        <v>10</v>
      </c>
      <c r="V256">
        <v>16</v>
      </c>
      <c r="W256">
        <f t="shared" ref="W256" si="758">W255</f>
        <v>2</v>
      </c>
      <c r="X256">
        <v>12</v>
      </c>
      <c r="Y256">
        <f t="shared" ref="Y256:Y257" si="759">Y255</f>
        <v>0</v>
      </c>
      <c r="Z256">
        <v>25</v>
      </c>
      <c r="AA256">
        <v>35</v>
      </c>
      <c r="AB256">
        <v>59</v>
      </c>
      <c r="AC256">
        <v>79</v>
      </c>
      <c r="AD256">
        <v>59</v>
      </c>
      <c r="AE256">
        <v>59</v>
      </c>
      <c r="AF256">
        <v>59</v>
      </c>
      <c r="AG256">
        <v>79</v>
      </c>
      <c r="AH256">
        <v>79</v>
      </c>
      <c r="AI256">
        <v>49</v>
      </c>
      <c r="AJ256">
        <v>10</v>
      </c>
      <c r="AK256">
        <v>39</v>
      </c>
      <c r="AL256">
        <v>30</v>
      </c>
      <c r="AM256">
        <v>-1</v>
      </c>
      <c r="AN256">
        <v>1</v>
      </c>
      <c r="AO256">
        <v>1</v>
      </c>
      <c r="AP256">
        <v>1</v>
      </c>
      <c r="AQ256">
        <v>0</v>
      </c>
      <c r="AR256">
        <f t="shared" si="575"/>
        <v>3</v>
      </c>
      <c r="AS256">
        <f>IF(AND(IFERROR(VLOOKUP(AJ256,Equip!$A:$N,13,FALSE),0)&gt;=5,IFERROR(VLOOKUP(AJ256,Equip!$A:$N,13,FALSE),0)&lt;=9),INT(VLOOKUP(AJ256,Equip!$A:$N,6,FALSE)*SQRT(AN256)),0)</f>
        <v>0</v>
      </c>
      <c r="AT256">
        <f>IF(AND(IFERROR(VLOOKUP(AK256,Equip!$A:$N,13,FALSE),0)&gt;=5,IFERROR(VLOOKUP(AK256,Equip!$A:$N,13,FALSE),0)&lt;=9),INT(VLOOKUP(AK256,Equip!$A:$N,6,FALSE)*SQRT(AO256)),0)</f>
        <v>0</v>
      </c>
      <c r="AU256">
        <f>IF(AND(IFERROR(VLOOKUP(AL256,Equip!$A:$N,13,FALSE),0)&gt;=5,IFERROR(VLOOKUP(AL256,Equip!$A:$N,13,FALSE),0)&lt;=9),INT(VLOOKUP(AL256,Equip!$A:$N,6,FALSE)*SQRT(AP256)),0)</f>
        <v>0</v>
      </c>
      <c r="AV256">
        <f>IF(AND(IFERROR(VLOOKUP(AM256,Equip!$A:$N,13,FALSE),0)&gt;=5,IFERROR(VLOOKUP(AM256,Equip!$A:$N,13,FALSE),0)&lt;=9),INT(VLOOKUP(AM256,Equip!$A:$N,6,FALSE)*SQRT(AQ256)),0)</f>
        <v>0</v>
      </c>
      <c r="AW256">
        <f t="shared" si="564"/>
        <v>0</v>
      </c>
      <c r="AX256">
        <f t="shared" si="565"/>
        <v>504</v>
      </c>
    </row>
    <row r="257" spans="1:50">
      <c r="A257">
        <v>109</v>
      </c>
      <c r="B257" t="s">
        <v>831</v>
      </c>
      <c r="C257" t="s">
        <v>831</v>
      </c>
      <c r="D257">
        <v>2</v>
      </c>
      <c r="E257">
        <f t="shared" si="751"/>
        <v>1627</v>
      </c>
      <c r="F257">
        <f t="shared" si="752"/>
        <v>913</v>
      </c>
      <c r="G257">
        <f t="shared" si="753"/>
        <v>109</v>
      </c>
      <c r="H257">
        <f t="shared" si="754"/>
        <v>1</v>
      </c>
      <c r="I257">
        <f t="shared" si="755"/>
        <v>1</v>
      </c>
      <c r="J257">
        <f t="shared" si="756"/>
        <v>3</v>
      </c>
      <c r="K257">
        <v>2</v>
      </c>
      <c r="L257">
        <v>2</v>
      </c>
      <c r="M257">
        <v>45</v>
      </c>
      <c r="N257">
        <v>45</v>
      </c>
      <c r="O257">
        <v>15</v>
      </c>
      <c r="P257">
        <v>29</v>
      </c>
      <c r="Q257">
        <v>28</v>
      </c>
      <c r="R257">
        <v>44</v>
      </c>
      <c r="S257">
        <v>41</v>
      </c>
      <c r="T257">
        <v>49</v>
      </c>
      <c r="U257">
        <f t="shared" si="757"/>
        <v>10</v>
      </c>
      <c r="V257">
        <v>15</v>
      </c>
      <c r="W257">
        <v>1</v>
      </c>
      <c r="X257">
        <v>17</v>
      </c>
      <c r="Y257">
        <f t="shared" si="759"/>
        <v>0</v>
      </c>
      <c r="Z257">
        <v>25</v>
      </c>
      <c r="AA257">
        <v>30</v>
      </c>
      <c r="AB257">
        <v>55</v>
      </c>
      <c r="AC257">
        <v>84</v>
      </c>
      <c r="AD257">
        <v>83</v>
      </c>
      <c r="AE257">
        <v>68</v>
      </c>
      <c r="AF257">
        <v>72</v>
      </c>
      <c r="AG257">
        <v>82</v>
      </c>
      <c r="AH257">
        <v>86</v>
      </c>
      <c r="AI257">
        <v>60</v>
      </c>
      <c r="AJ257">
        <v>91</v>
      </c>
      <c r="AK257">
        <v>131</v>
      </c>
      <c r="AL257">
        <v>68</v>
      </c>
      <c r="AM257">
        <v>-1</v>
      </c>
      <c r="AN257">
        <v>1</v>
      </c>
      <c r="AO257">
        <v>1</v>
      </c>
      <c r="AP257">
        <v>1</v>
      </c>
      <c r="AQ257">
        <v>0</v>
      </c>
      <c r="AR257">
        <f t="shared" si="575"/>
        <v>3</v>
      </c>
      <c r="AS257">
        <f>IF(AND(IFERROR(VLOOKUP(AJ257,Equip!$A:$N,13,FALSE),0)&gt;=5,IFERROR(VLOOKUP(AJ257,Equip!$A:$N,13,FALSE),0)&lt;=9),INT(VLOOKUP(AJ257,Equip!$A:$N,6,FALSE)*SQRT(AN257)),0)</f>
        <v>0</v>
      </c>
      <c r="AT257">
        <f>IF(AND(IFERROR(VLOOKUP(AK257,Equip!$A:$N,13,FALSE),0)&gt;=5,IFERROR(VLOOKUP(AK257,Equip!$A:$N,13,FALSE),0)&lt;=9),INT(VLOOKUP(AK257,Equip!$A:$N,6,FALSE)*SQRT(AO257)),0)</f>
        <v>0</v>
      </c>
      <c r="AU257">
        <f>IF(AND(IFERROR(VLOOKUP(AL257,Equip!$A:$N,13,FALSE),0)&gt;=5,IFERROR(VLOOKUP(AL257,Equip!$A:$N,13,FALSE),0)&lt;=9),INT(VLOOKUP(AL257,Equip!$A:$N,6,FALSE)*SQRT(AP257)),0)</f>
        <v>0</v>
      </c>
      <c r="AV257">
        <f>IF(AND(IFERROR(VLOOKUP(AM257,Equip!$A:$N,13,FALSE),0)&gt;=5,IFERROR(VLOOKUP(AM257,Equip!$A:$N,13,FALSE),0)&lt;=9),INT(VLOOKUP(AM257,Equip!$A:$N,6,FALSE)*SQRT(AQ257)),0)</f>
        <v>0</v>
      </c>
      <c r="AW257">
        <f t="shared" si="564"/>
        <v>0</v>
      </c>
      <c r="AX257">
        <f t="shared" si="565"/>
        <v>563</v>
      </c>
    </row>
    <row r="258" spans="1:50">
      <c r="A258">
        <v>110</v>
      </c>
      <c r="B258" t="s">
        <v>832</v>
      </c>
      <c r="C258" t="s">
        <v>832</v>
      </c>
      <c r="D258">
        <v>0</v>
      </c>
      <c r="E258">
        <v>1654</v>
      </c>
      <c r="F258">
        <v>927</v>
      </c>
      <c r="G258">
        <v>110</v>
      </c>
      <c r="H258">
        <v>1</v>
      </c>
      <c r="I258">
        <v>1</v>
      </c>
      <c r="J258">
        <v>3</v>
      </c>
      <c r="K258">
        <v>2</v>
      </c>
      <c r="L258">
        <v>2</v>
      </c>
      <c r="M258">
        <v>27</v>
      </c>
      <c r="N258">
        <v>27</v>
      </c>
      <c r="O258">
        <v>14</v>
      </c>
      <c r="P258">
        <v>10</v>
      </c>
      <c r="Q258">
        <v>24</v>
      </c>
      <c r="R258">
        <v>39</v>
      </c>
      <c r="S258">
        <v>13</v>
      </c>
      <c r="T258">
        <v>20</v>
      </c>
      <c r="U258">
        <v>10</v>
      </c>
      <c r="V258">
        <v>8</v>
      </c>
      <c r="W258">
        <v>2</v>
      </c>
      <c r="X258">
        <v>12</v>
      </c>
      <c r="Y258">
        <v>0</v>
      </c>
      <c r="Z258">
        <v>25</v>
      </c>
      <c r="AA258">
        <v>25</v>
      </c>
      <c r="AB258">
        <v>39</v>
      </c>
      <c r="AC258">
        <v>79</v>
      </c>
      <c r="AD258">
        <v>49</v>
      </c>
      <c r="AE258">
        <v>29</v>
      </c>
      <c r="AF258">
        <v>49</v>
      </c>
      <c r="AG258">
        <v>69</v>
      </c>
      <c r="AH258">
        <v>59</v>
      </c>
      <c r="AI258">
        <v>39</v>
      </c>
      <c r="AJ258">
        <v>4</v>
      </c>
      <c r="AK258">
        <v>0</v>
      </c>
      <c r="AL258">
        <v>-1</v>
      </c>
      <c r="AM258">
        <v>-1</v>
      </c>
      <c r="AN258">
        <v>1</v>
      </c>
      <c r="AO258">
        <v>1</v>
      </c>
      <c r="AP258">
        <v>0</v>
      </c>
      <c r="AQ258">
        <v>0</v>
      </c>
      <c r="AR258">
        <f t="shared" si="575"/>
        <v>2</v>
      </c>
      <c r="AS258">
        <f>IF(AND(IFERROR(VLOOKUP(AJ258,Equip!$A:$N,13,FALSE),0)&gt;=5,IFERROR(VLOOKUP(AJ258,Equip!$A:$N,13,FALSE),0)&lt;=9),INT(VLOOKUP(AJ258,Equip!$A:$N,6,FALSE)*SQRT(AN258)),0)</f>
        <v>0</v>
      </c>
      <c r="AT258">
        <f>IF(AND(IFERROR(VLOOKUP(AK258,Equip!$A:$N,13,FALSE),0)&gt;=5,IFERROR(VLOOKUP(AK258,Equip!$A:$N,13,FALSE),0)&lt;=9),INT(VLOOKUP(AK258,Equip!$A:$N,6,FALSE)*SQRT(AO258)),0)</f>
        <v>0</v>
      </c>
      <c r="AU258">
        <f>IF(AND(IFERROR(VLOOKUP(AL258,Equip!$A:$N,13,FALSE),0)&gt;=5,IFERROR(VLOOKUP(AL258,Equip!$A:$N,13,FALSE),0)&lt;=9),INT(VLOOKUP(AL258,Equip!$A:$N,6,FALSE)*SQRT(AP258)),0)</f>
        <v>0</v>
      </c>
      <c r="AV258">
        <f>IF(AND(IFERROR(VLOOKUP(AM258,Equip!$A:$N,13,FALSE),0)&gt;=5,IFERROR(VLOOKUP(AM258,Equip!$A:$N,13,FALSE),0)&lt;=9),INT(VLOOKUP(AM258,Equip!$A:$N,6,FALSE)*SQRT(AQ258)),0)</f>
        <v>0</v>
      </c>
      <c r="AW258">
        <f t="shared" si="564"/>
        <v>0</v>
      </c>
      <c r="AX258">
        <f t="shared" si="565"/>
        <v>390</v>
      </c>
    </row>
    <row r="259" spans="1:50">
      <c r="A259">
        <v>110</v>
      </c>
      <c r="B259" t="s">
        <v>832</v>
      </c>
      <c r="C259" t="s">
        <v>832</v>
      </c>
      <c r="D259">
        <v>1</v>
      </c>
      <c r="E259">
        <f t="shared" ref="E259:E260" si="760">E258</f>
        <v>1654</v>
      </c>
      <c r="F259">
        <f t="shared" ref="F259:F260" si="761">F258</f>
        <v>927</v>
      </c>
      <c r="G259">
        <f t="shared" ref="G259:G260" si="762">G258</f>
        <v>110</v>
      </c>
      <c r="H259">
        <f t="shared" ref="H259:H260" si="763">H258</f>
        <v>1</v>
      </c>
      <c r="I259">
        <f t="shared" ref="I259:I260" si="764">I258</f>
        <v>1</v>
      </c>
      <c r="J259">
        <f t="shared" ref="J259:J260" si="765">J258</f>
        <v>3</v>
      </c>
      <c r="K259">
        <v>2</v>
      </c>
      <c r="L259">
        <v>2</v>
      </c>
      <c r="M259">
        <v>42</v>
      </c>
      <c r="N259">
        <v>42</v>
      </c>
      <c r="O259">
        <v>23</v>
      </c>
      <c r="P259">
        <v>32</v>
      </c>
      <c r="Q259">
        <v>28</v>
      </c>
      <c r="R259">
        <v>44</v>
      </c>
      <c r="S259">
        <v>19</v>
      </c>
      <c r="T259">
        <v>48</v>
      </c>
      <c r="U259">
        <f t="shared" ref="U259:U260" si="766">U258</f>
        <v>10</v>
      </c>
      <c r="V259">
        <v>10</v>
      </c>
      <c r="W259">
        <f t="shared" ref="W259" si="767">W258</f>
        <v>2</v>
      </c>
      <c r="X259">
        <v>12</v>
      </c>
      <c r="Y259">
        <f t="shared" ref="Y259:Y260" si="768">Y258</f>
        <v>0</v>
      </c>
      <c r="Z259">
        <v>25</v>
      </c>
      <c r="AA259">
        <v>35</v>
      </c>
      <c r="AB259">
        <v>59</v>
      </c>
      <c r="AC259">
        <v>79</v>
      </c>
      <c r="AD259">
        <v>59</v>
      </c>
      <c r="AE259">
        <v>59</v>
      </c>
      <c r="AF259">
        <v>59</v>
      </c>
      <c r="AG259">
        <v>79</v>
      </c>
      <c r="AH259">
        <v>79</v>
      </c>
      <c r="AI259">
        <v>49</v>
      </c>
      <c r="AJ259">
        <v>10</v>
      </c>
      <c r="AK259">
        <v>40</v>
      </c>
      <c r="AL259">
        <v>30</v>
      </c>
      <c r="AM259">
        <v>-1</v>
      </c>
      <c r="AN259">
        <v>1</v>
      </c>
      <c r="AO259">
        <v>1</v>
      </c>
      <c r="AP259">
        <v>1</v>
      </c>
      <c r="AQ259">
        <v>0</v>
      </c>
      <c r="AR259">
        <f t="shared" si="575"/>
        <v>3</v>
      </c>
      <c r="AS259">
        <f>IF(AND(IFERROR(VLOOKUP(AJ259,Equip!$A:$N,13,FALSE),0)&gt;=5,IFERROR(VLOOKUP(AJ259,Equip!$A:$N,13,FALSE),0)&lt;=9),INT(VLOOKUP(AJ259,Equip!$A:$N,6,FALSE)*SQRT(AN259)),0)</f>
        <v>0</v>
      </c>
      <c r="AT259">
        <f>IF(AND(IFERROR(VLOOKUP(AK259,Equip!$A:$N,13,FALSE),0)&gt;=5,IFERROR(VLOOKUP(AK259,Equip!$A:$N,13,FALSE),0)&lt;=9),INT(VLOOKUP(AK259,Equip!$A:$N,6,FALSE)*SQRT(AO259)),0)</f>
        <v>0</v>
      </c>
      <c r="AU259">
        <f>IF(AND(IFERROR(VLOOKUP(AL259,Equip!$A:$N,13,FALSE),0)&gt;=5,IFERROR(VLOOKUP(AL259,Equip!$A:$N,13,FALSE),0)&lt;=9),INT(VLOOKUP(AL259,Equip!$A:$N,6,FALSE)*SQRT(AP259)),0)</f>
        <v>0</v>
      </c>
      <c r="AV259">
        <f>IF(AND(IFERROR(VLOOKUP(AM259,Equip!$A:$N,13,FALSE),0)&gt;=5,IFERROR(VLOOKUP(AM259,Equip!$A:$N,13,FALSE),0)&lt;=9),INT(VLOOKUP(AM259,Equip!$A:$N,6,FALSE)*SQRT(AQ259)),0)</f>
        <v>0</v>
      </c>
      <c r="AW259">
        <f t="shared" si="564"/>
        <v>0</v>
      </c>
      <c r="AX259">
        <f t="shared" si="565"/>
        <v>505</v>
      </c>
    </row>
    <row r="260" spans="1:50">
      <c r="A260">
        <v>110</v>
      </c>
      <c r="B260" t="s">
        <v>832</v>
      </c>
      <c r="C260" t="s">
        <v>832</v>
      </c>
      <c r="D260">
        <v>2</v>
      </c>
      <c r="E260">
        <f t="shared" si="760"/>
        <v>1654</v>
      </c>
      <c r="F260">
        <f t="shared" si="761"/>
        <v>927</v>
      </c>
      <c r="G260">
        <f t="shared" si="762"/>
        <v>110</v>
      </c>
      <c r="H260">
        <f t="shared" si="763"/>
        <v>1</v>
      </c>
      <c r="I260">
        <f t="shared" si="764"/>
        <v>1</v>
      </c>
      <c r="J260">
        <f t="shared" si="765"/>
        <v>3</v>
      </c>
      <c r="K260">
        <v>2</v>
      </c>
      <c r="L260">
        <v>2</v>
      </c>
      <c r="M260">
        <v>45</v>
      </c>
      <c r="N260">
        <v>45</v>
      </c>
      <c r="O260">
        <v>16</v>
      </c>
      <c r="P260">
        <v>41</v>
      </c>
      <c r="Q260">
        <v>34</v>
      </c>
      <c r="R260">
        <v>45</v>
      </c>
      <c r="S260">
        <v>35</v>
      </c>
      <c r="T260">
        <v>75</v>
      </c>
      <c r="U260">
        <f t="shared" si="766"/>
        <v>10</v>
      </c>
      <c r="V260">
        <v>16</v>
      </c>
      <c r="W260">
        <v>1</v>
      </c>
      <c r="X260">
        <v>20</v>
      </c>
      <c r="Y260">
        <f t="shared" si="768"/>
        <v>0</v>
      </c>
      <c r="Z260">
        <v>25</v>
      </c>
      <c r="AA260">
        <v>35</v>
      </c>
      <c r="AB260">
        <v>56</v>
      </c>
      <c r="AC260">
        <v>94</v>
      </c>
      <c r="AD260">
        <v>78</v>
      </c>
      <c r="AE260">
        <v>68</v>
      </c>
      <c r="AF260">
        <v>74</v>
      </c>
      <c r="AG260">
        <v>83</v>
      </c>
      <c r="AH260">
        <v>82</v>
      </c>
      <c r="AI260">
        <v>60</v>
      </c>
      <c r="AJ260">
        <v>91</v>
      </c>
      <c r="AK260">
        <v>106</v>
      </c>
      <c r="AL260">
        <v>68</v>
      </c>
      <c r="AM260">
        <v>-1</v>
      </c>
      <c r="AN260">
        <v>1</v>
      </c>
      <c r="AO260">
        <v>1</v>
      </c>
      <c r="AP260">
        <v>1</v>
      </c>
      <c r="AQ260">
        <v>0</v>
      </c>
      <c r="AR260">
        <f t="shared" ref="AR260:AR323" si="769">SUM(AN260:AQ260)</f>
        <v>3</v>
      </c>
      <c r="AS260">
        <f>IF(AND(IFERROR(VLOOKUP(AJ260,Equip!$A:$N,13,FALSE),0)&gt;=5,IFERROR(VLOOKUP(AJ260,Equip!$A:$N,13,FALSE),0)&lt;=9),INT(VLOOKUP(AJ260,Equip!$A:$N,6,FALSE)*SQRT(AN260)),0)</f>
        <v>0</v>
      </c>
      <c r="AT260">
        <f>IF(AND(IFERROR(VLOOKUP(AK260,Equip!$A:$N,13,FALSE),0)&gt;=5,IFERROR(VLOOKUP(AK260,Equip!$A:$N,13,FALSE),0)&lt;=9),INT(VLOOKUP(AK260,Equip!$A:$N,6,FALSE)*SQRT(AO260)),0)</f>
        <v>0</v>
      </c>
      <c r="AU260">
        <f>IF(AND(IFERROR(VLOOKUP(AL260,Equip!$A:$N,13,FALSE),0)&gt;=5,IFERROR(VLOOKUP(AL260,Equip!$A:$N,13,FALSE),0)&lt;=9),INT(VLOOKUP(AL260,Equip!$A:$N,6,FALSE)*SQRT(AP260)),0)</f>
        <v>0</v>
      </c>
      <c r="AV260">
        <f>IF(AND(IFERROR(VLOOKUP(AM260,Equip!$A:$N,13,FALSE),0)&gt;=5,IFERROR(VLOOKUP(AM260,Equip!$A:$N,13,FALSE),0)&lt;=9),INT(VLOOKUP(AM260,Equip!$A:$N,6,FALSE)*SQRT(AQ260)),0)</f>
        <v>0</v>
      </c>
      <c r="AW260">
        <f t="shared" ref="AW260:AW323" si="770">SUM(AS260:AV260)</f>
        <v>0</v>
      </c>
      <c r="AX260">
        <f t="shared" ref="AX260:AX323" si="771">SUM(N260,AB260:AE260,AG260:AI260)</f>
        <v>566</v>
      </c>
    </row>
    <row r="261" spans="1:50">
      <c r="A261">
        <v>111</v>
      </c>
      <c r="B261" t="s">
        <v>833</v>
      </c>
      <c r="C261" t="s">
        <v>833</v>
      </c>
      <c r="D261">
        <v>0</v>
      </c>
      <c r="E261">
        <v>1420</v>
      </c>
      <c r="F261">
        <v>810</v>
      </c>
      <c r="G261">
        <v>111</v>
      </c>
      <c r="H261">
        <v>1</v>
      </c>
      <c r="I261">
        <v>1</v>
      </c>
      <c r="J261">
        <v>0</v>
      </c>
      <c r="K261">
        <v>2</v>
      </c>
      <c r="L261">
        <v>2</v>
      </c>
      <c r="M261">
        <v>19</v>
      </c>
      <c r="N261">
        <v>19</v>
      </c>
      <c r="O261">
        <v>17</v>
      </c>
      <c r="P261">
        <v>10</v>
      </c>
      <c r="Q261">
        <v>20</v>
      </c>
      <c r="R261">
        <v>42</v>
      </c>
      <c r="S261">
        <v>10</v>
      </c>
      <c r="T261">
        <v>13</v>
      </c>
      <c r="U261">
        <v>10</v>
      </c>
      <c r="V261">
        <v>6</v>
      </c>
      <c r="W261">
        <v>2</v>
      </c>
      <c r="X261">
        <v>12</v>
      </c>
      <c r="Y261">
        <v>0</v>
      </c>
      <c r="Z261">
        <v>25</v>
      </c>
      <c r="AA261">
        <v>25</v>
      </c>
      <c r="AB261">
        <v>42</v>
      </c>
      <c r="AC261">
        <v>69</v>
      </c>
      <c r="AD261">
        <v>42</v>
      </c>
      <c r="AE261">
        <v>29</v>
      </c>
      <c r="AF261">
        <v>49</v>
      </c>
      <c r="AG261">
        <v>69</v>
      </c>
      <c r="AH261">
        <v>39</v>
      </c>
      <c r="AI261">
        <v>39</v>
      </c>
      <c r="AJ261">
        <v>4</v>
      </c>
      <c r="AK261">
        <v>4</v>
      </c>
      <c r="AL261">
        <v>0</v>
      </c>
      <c r="AM261">
        <v>-1</v>
      </c>
      <c r="AN261">
        <v>0</v>
      </c>
      <c r="AO261">
        <v>0</v>
      </c>
      <c r="AP261">
        <v>0</v>
      </c>
      <c r="AQ261">
        <v>0</v>
      </c>
      <c r="AR261">
        <f t="shared" si="769"/>
        <v>0</v>
      </c>
      <c r="AS261">
        <f>IF(AND(IFERROR(VLOOKUP(AJ261,Equip!$A:$N,13,FALSE),0)&gt;=5,IFERROR(VLOOKUP(AJ261,Equip!$A:$N,13,FALSE),0)&lt;=9),INT(VLOOKUP(AJ261,Equip!$A:$N,6,FALSE)*SQRT(AN261)),0)</f>
        <v>0</v>
      </c>
      <c r="AT261">
        <f>IF(AND(IFERROR(VLOOKUP(AK261,Equip!$A:$N,13,FALSE),0)&gt;=5,IFERROR(VLOOKUP(AK261,Equip!$A:$N,13,FALSE),0)&lt;=9),INT(VLOOKUP(AK261,Equip!$A:$N,6,FALSE)*SQRT(AO261)),0)</f>
        <v>0</v>
      </c>
      <c r="AU261">
        <f>IF(AND(IFERROR(VLOOKUP(AL261,Equip!$A:$N,13,FALSE),0)&gt;=5,IFERROR(VLOOKUP(AL261,Equip!$A:$N,13,FALSE),0)&lt;=9),INT(VLOOKUP(AL261,Equip!$A:$N,6,FALSE)*SQRT(AP261)),0)</f>
        <v>0</v>
      </c>
      <c r="AV261">
        <f>IF(AND(IFERROR(VLOOKUP(AM261,Equip!$A:$N,13,FALSE),0)&gt;=5,IFERROR(VLOOKUP(AM261,Equip!$A:$N,13,FALSE),0)&lt;=9),INT(VLOOKUP(AM261,Equip!$A:$N,6,FALSE)*SQRT(AQ261)),0)</f>
        <v>0</v>
      </c>
      <c r="AW261">
        <f t="shared" si="770"/>
        <v>0</v>
      </c>
      <c r="AX261">
        <f t="shared" si="771"/>
        <v>348</v>
      </c>
    </row>
    <row r="262" spans="1:50">
      <c r="A262">
        <v>111</v>
      </c>
      <c r="B262" t="s">
        <v>833</v>
      </c>
      <c r="C262" t="s">
        <v>833</v>
      </c>
      <c r="D262">
        <v>1</v>
      </c>
      <c r="E262">
        <f>E261</f>
        <v>1420</v>
      </c>
      <c r="F262">
        <f t="shared" ref="F262" si="772">F261</f>
        <v>810</v>
      </c>
      <c r="G262">
        <f t="shared" ref="G262" si="773">G261</f>
        <v>111</v>
      </c>
      <c r="H262">
        <f t="shared" ref="H262" si="774">H261</f>
        <v>1</v>
      </c>
      <c r="I262">
        <f t="shared" ref="I262" si="775">I261</f>
        <v>1</v>
      </c>
      <c r="J262">
        <f t="shared" ref="J262" si="776">J261</f>
        <v>0</v>
      </c>
      <c r="K262">
        <v>2</v>
      </c>
      <c r="L262">
        <v>2</v>
      </c>
      <c r="M262">
        <v>36</v>
      </c>
      <c r="N262">
        <v>36</v>
      </c>
      <c r="O262">
        <v>32</v>
      </c>
      <c r="P262">
        <v>31</v>
      </c>
      <c r="Q262">
        <v>30</v>
      </c>
      <c r="R262">
        <v>48</v>
      </c>
      <c r="S262">
        <v>25</v>
      </c>
      <c r="T262">
        <v>35</v>
      </c>
      <c r="U262">
        <f t="shared" ref="U262" si="777">U261</f>
        <v>10</v>
      </c>
      <c r="V262">
        <v>17</v>
      </c>
      <c r="W262">
        <f t="shared" ref="W262" si="778">W261</f>
        <v>2</v>
      </c>
      <c r="X262">
        <v>17</v>
      </c>
      <c r="Y262">
        <f t="shared" ref="Y262" si="779">Y261</f>
        <v>0</v>
      </c>
      <c r="Z262">
        <v>25</v>
      </c>
      <c r="AA262">
        <v>40</v>
      </c>
      <c r="AB262">
        <v>63</v>
      </c>
      <c r="AC262">
        <v>79</v>
      </c>
      <c r="AD262">
        <v>69</v>
      </c>
      <c r="AE262">
        <v>49</v>
      </c>
      <c r="AF262">
        <v>69</v>
      </c>
      <c r="AG262">
        <v>69</v>
      </c>
      <c r="AH262">
        <v>69</v>
      </c>
      <c r="AI262">
        <v>44</v>
      </c>
      <c r="AJ262">
        <v>4</v>
      </c>
      <c r="AK262">
        <v>48</v>
      </c>
      <c r="AL262">
        <v>40</v>
      </c>
      <c r="AM262">
        <v>0</v>
      </c>
      <c r="AN262">
        <v>0</v>
      </c>
      <c r="AO262">
        <v>0</v>
      </c>
      <c r="AP262">
        <v>0</v>
      </c>
      <c r="AQ262">
        <v>0</v>
      </c>
      <c r="AR262">
        <f t="shared" si="769"/>
        <v>0</v>
      </c>
      <c r="AS262">
        <f>IF(AND(IFERROR(VLOOKUP(AJ262,Equip!$A:$N,13,FALSE),0)&gt;=5,IFERROR(VLOOKUP(AJ262,Equip!$A:$N,13,FALSE),0)&lt;=9),INT(VLOOKUP(AJ262,Equip!$A:$N,6,FALSE)*SQRT(AN262)),0)</f>
        <v>0</v>
      </c>
      <c r="AT262">
        <f>IF(AND(IFERROR(VLOOKUP(AK262,Equip!$A:$N,13,FALSE),0)&gt;=5,IFERROR(VLOOKUP(AK262,Equip!$A:$N,13,FALSE),0)&lt;=9),INT(VLOOKUP(AK262,Equip!$A:$N,6,FALSE)*SQRT(AO262)),0)</f>
        <v>0</v>
      </c>
      <c r="AU262">
        <f>IF(AND(IFERROR(VLOOKUP(AL262,Equip!$A:$N,13,FALSE),0)&gt;=5,IFERROR(VLOOKUP(AL262,Equip!$A:$N,13,FALSE),0)&lt;=9),INT(VLOOKUP(AL262,Equip!$A:$N,6,FALSE)*SQRT(AP262)),0)</f>
        <v>0</v>
      </c>
      <c r="AV262">
        <f>IF(AND(IFERROR(VLOOKUP(AM262,Equip!$A:$N,13,FALSE),0)&gt;=5,IFERROR(VLOOKUP(AM262,Equip!$A:$N,13,FALSE),0)&lt;=9),INT(VLOOKUP(AM262,Equip!$A:$N,6,FALSE)*SQRT(AQ262)),0)</f>
        <v>0</v>
      </c>
      <c r="AW262">
        <f t="shared" si="770"/>
        <v>0</v>
      </c>
      <c r="AX262">
        <f t="shared" si="771"/>
        <v>478</v>
      </c>
    </row>
    <row r="263" spans="1:50">
      <c r="A263">
        <v>112</v>
      </c>
      <c r="B263" t="s">
        <v>834</v>
      </c>
      <c r="C263" t="s">
        <v>834</v>
      </c>
      <c r="D263">
        <v>0</v>
      </c>
      <c r="E263">
        <v>1783</v>
      </c>
      <c r="F263">
        <v>991</v>
      </c>
      <c r="G263">
        <v>112</v>
      </c>
      <c r="H263">
        <v>0</v>
      </c>
      <c r="I263">
        <v>1</v>
      </c>
      <c r="J263">
        <v>6</v>
      </c>
      <c r="K263">
        <v>9</v>
      </c>
      <c r="L263">
        <v>4</v>
      </c>
      <c r="M263">
        <v>32</v>
      </c>
      <c r="N263">
        <v>32</v>
      </c>
      <c r="O263">
        <v>0</v>
      </c>
      <c r="P263">
        <v>19</v>
      </c>
      <c r="Q263">
        <v>0</v>
      </c>
      <c r="R263">
        <v>29</v>
      </c>
      <c r="S263">
        <v>14</v>
      </c>
      <c r="T263">
        <v>0</v>
      </c>
      <c r="U263">
        <v>10</v>
      </c>
      <c r="V263">
        <v>30</v>
      </c>
      <c r="W263">
        <v>1</v>
      </c>
      <c r="X263">
        <v>30</v>
      </c>
      <c r="Y263">
        <v>0</v>
      </c>
      <c r="Z263">
        <v>35</v>
      </c>
      <c r="AA263">
        <v>35</v>
      </c>
      <c r="AB263">
        <v>19</v>
      </c>
      <c r="AC263">
        <v>0</v>
      </c>
      <c r="AD263">
        <v>29</v>
      </c>
      <c r="AE263">
        <v>39</v>
      </c>
      <c r="AF263">
        <v>79</v>
      </c>
      <c r="AG263">
        <v>49</v>
      </c>
      <c r="AH263">
        <v>0</v>
      </c>
      <c r="AI263">
        <v>69</v>
      </c>
      <c r="AJ263">
        <v>23</v>
      </c>
      <c r="AK263">
        <v>16</v>
      </c>
      <c r="AL263">
        <v>0</v>
      </c>
      <c r="AM263">
        <v>-1</v>
      </c>
      <c r="AN263">
        <v>18</v>
      </c>
      <c r="AO263">
        <v>9</v>
      </c>
      <c r="AP263">
        <v>3</v>
      </c>
      <c r="AQ263">
        <v>0</v>
      </c>
      <c r="AR263">
        <f t="shared" si="769"/>
        <v>30</v>
      </c>
      <c r="AS263">
        <f>IF(AND(IFERROR(VLOOKUP(AJ263,Equip!$A:$N,13,FALSE),0)&gt;=5,IFERROR(VLOOKUP(AJ263,Equip!$A:$N,13,FALSE),0)&lt;=9),INT(VLOOKUP(AJ263,Equip!$A:$N,6,FALSE)*SQRT(AN263)),0)</f>
        <v>0</v>
      </c>
      <c r="AT263">
        <f>IF(AND(IFERROR(VLOOKUP(AK263,Equip!$A:$N,13,FALSE),0)&gt;=5,IFERROR(VLOOKUP(AK263,Equip!$A:$N,13,FALSE),0)&lt;=9),INT(VLOOKUP(AK263,Equip!$A:$N,6,FALSE)*SQRT(AO263)),0)</f>
        <v>0</v>
      </c>
      <c r="AU263">
        <f>IF(AND(IFERROR(VLOOKUP(AL263,Equip!$A:$N,13,FALSE),0)&gt;=5,IFERROR(VLOOKUP(AL263,Equip!$A:$N,13,FALSE),0)&lt;=9),INT(VLOOKUP(AL263,Equip!$A:$N,6,FALSE)*SQRT(AP263)),0)</f>
        <v>0</v>
      </c>
      <c r="AV263">
        <f>IF(AND(IFERROR(VLOOKUP(AM263,Equip!$A:$N,13,FALSE),0)&gt;=5,IFERROR(VLOOKUP(AM263,Equip!$A:$N,13,FALSE),0)&lt;=9),INT(VLOOKUP(AM263,Equip!$A:$N,6,FALSE)*SQRT(AQ263)),0)</f>
        <v>0</v>
      </c>
      <c r="AW263">
        <f t="shared" si="770"/>
        <v>0</v>
      </c>
      <c r="AX263">
        <f t="shared" si="771"/>
        <v>237</v>
      </c>
    </row>
    <row r="264" spans="1:50">
      <c r="A264">
        <v>112</v>
      </c>
      <c r="B264" t="s">
        <v>834</v>
      </c>
      <c r="C264" t="s">
        <v>834</v>
      </c>
      <c r="D264">
        <v>1</v>
      </c>
      <c r="E264">
        <f>E263</f>
        <v>1783</v>
      </c>
      <c r="F264">
        <f t="shared" ref="F264" si="780">F263</f>
        <v>991</v>
      </c>
      <c r="G264">
        <f t="shared" ref="G264" si="781">G263</f>
        <v>112</v>
      </c>
      <c r="H264">
        <f t="shared" ref="H264" si="782">H263</f>
        <v>0</v>
      </c>
      <c r="I264">
        <f t="shared" ref="I264" si="783">I263</f>
        <v>1</v>
      </c>
      <c r="J264">
        <f t="shared" ref="J264" si="784">J263</f>
        <v>6</v>
      </c>
      <c r="K264">
        <v>9</v>
      </c>
      <c r="L264">
        <v>4</v>
      </c>
      <c r="M264">
        <v>45</v>
      </c>
      <c r="N264">
        <v>45</v>
      </c>
      <c r="O264">
        <v>6</v>
      </c>
      <c r="P264">
        <v>29</v>
      </c>
      <c r="Q264">
        <v>0</v>
      </c>
      <c r="R264">
        <v>36</v>
      </c>
      <c r="S264">
        <v>21</v>
      </c>
      <c r="T264">
        <v>0</v>
      </c>
      <c r="U264">
        <f t="shared" ref="U264" si="785">U263</f>
        <v>10</v>
      </c>
      <c r="V264">
        <v>46</v>
      </c>
      <c r="W264">
        <f t="shared" ref="W264" si="786">W263</f>
        <v>1</v>
      </c>
      <c r="X264">
        <v>40</v>
      </c>
      <c r="Y264">
        <f t="shared" ref="Y264" si="787">Y263</f>
        <v>0</v>
      </c>
      <c r="Z264">
        <v>40</v>
      </c>
      <c r="AA264">
        <v>40</v>
      </c>
      <c r="AB264">
        <v>29</v>
      </c>
      <c r="AC264">
        <v>0</v>
      </c>
      <c r="AD264">
        <v>39</v>
      </c>
      <c r="AE264">
        <v>59</v>
      </c>
      <c r="AF264">
        <v>89</v>
      </c>
      <c r="AG264">
        <v>59</v>
      </c>
      <c r="AH264">
        <v>0</v>
      </c>
      <c r="AI264">
        <v>79</v>
      </c>
      <c r="AJ264">
        <v>21</v>
      </c>
      <c r="AK264">
        <v>24</v>
      </c>
      <c r="AL264">
        <v>17</v>
      </c>
      <c r="AM264">
        <v>0</v>
      </c>
      <c r="AN264">
        <v>18</v>
      </c>
      <c r="AO264">
        <v>12</v>
      </c>
      <c r="AP264">
        <v>12</v>
      </c>
      <c r="AQ264">
        <v>6</v>
      </c>
      <c r="AR264">
        <f t="shared" si="769"/>
        <v>48</v>
      </c>
      <c r="AS264">
        <f>IF(AND(IFERROR(VLOOKUP(AJ264,Equip!$A:$N,13,FALSE),0)&gt;=5,IFERROR(VLOOKUP(AJ264,Equip!$A:$N,13,FALSE),0)&lt;=9),INT(VLOOKUP(AJ264,Equip!$A:$N,6,FALSE)*SQRT(AN264)),0)</f>
        <v>0</v>
      </c>
      <c r="AT264">
        <f>IF(AND(IFERROR(VLOOKUP(AK264,Equip!$A:$N,13,FALSE),0)&gt;=5,IFERROR(VLOOKUP(AK264,Equip!$A:$N,13,FALSE),0)&lt;=9),INT(VLOOKUP(AK264,Equip!$A:$N,6,FALSE)*SQRT(AO264)),0)</f>
        <v>0</v>
      </c>
      <c r="AU264">
        <f>IF(AND(IFERROR(VLOOKUP(AL264,Equip!$A:$N,13,FALSE),0)&gt;=5,IFERROR(VLOOKUP(AL264,Equip!$A:$N,13,FALSE),0)&lt;=9),INT(VLOOKUP(AL264,Equip!$A:$N,6,FALSE)*SQRT(AP264)),0)</f>
        <v>0</v>
      </c>
      <c r="AV264">
        <f>IF(AND(IFERROR(VLOOKUP(AM264,Equip!$A:$N,13,FALSE),0)&gt;=5,IFERROR(VLOOKUP(AM264,Equip!$A:$N,13,FALSE),0)&lt;=9),INT(VLOOKUP(AM264,Equip!$A:$N,6,FALSE)*SQRT(AQ264)),0)</f>
        <v>0</v>
      </c>
      <c r="AW264">
        <f t="shared" si="770"/>
        <v>0</v>
      </c>
      <c r="AX264">
        <f t="shared" si="771"/>
        <v>310</v>
      </c>
    </row>
    <row r="265" spans="1:50">
      <c r="A265">
        <v>116</v>
      </c>
      <c r="B265" t="s">
        <v>835</v>
      </c>
      <c r="C265" t="s">
        <v>835</v>
      </c>
      <c r="D265">
        <v>0</v>
      </c>
      <c r="E265">
        <v>1970</v>
      </c>
      <c r="F265">
        <v>1085</v>
      </c>
      <c r="G265">
        <v>116</v>
      </c>
      <c r="H265">
        <v>1</v>
      </c>
      <c r="I265">
        <v>1</v>
      </c>
      <c r="J265">
        <v>0</v>
      </c>
      <c r="K265">
        <v>3</v>
      </c>
      <c r="L265">
        <v>4</v>
      </c>
      <c r="M265">
        <v>40</v>
      </c>
      <c r="N265">
        <v>40</v>
      </c>
      <c r="O265">
        <v>40</v>
      </c>
      <c r="P265">
        <v>30</v>
      </c>
      <c r="Q265">
        <v>18</v>
      </c>
      <c r="R265">
        <v>31</v>
      </c>
      <c r="S265">
        <v>18</v>
      </c>
      <c r="T265">
        <v>0</v>
      </c>
      <c r="U265">
        <v>10</v>
      </c>
      <c r="V265">
        <v>14</v>
      </c>
      <c r="W265">
        <v>2</v>
      </c>
      <c r="X265">
        <v>5</v>
      </c>
      <c r="Y265">
        <v>0</v>
      </c>
      <c r="Z265">
        <v>40</v>
      </c>
      <c r="AA265">
        <v>65</v>
      </c>
      <c r="AB265">
        <v>59</v>
      </c>
      <c r="AC265">
        <v>69</v>
      </c>
      <c r="AD265">
        <v>59</v>
      </c>
      <c r="AE265">
        <v>59</v>
      </c>
      <c r="AF265">
        <v>49</v>
      </c>
      <c r="AG265">
        <v>62</v>
      </c>
      <c r="AH265">
        <v>0</v>
      </c>
      <c r="AI265">
        <v>39</v>
      </c>
      <c r="AJ265">
        <v>6</v>
      </c>
      <c r="AK265">
        <v>25</v>
      </c>
      <c r="AL265">
        <v>0</v>
      </c>
      <c r="AM265">
        <v>-1</v>
      </c>
      <c r="AN265">
        <v>2</v>
      </c>
      <c r="AO265">
        <v>2</v>
      </c>
      <c r="AP265">
        <v>2</v>
      </c>
      <c r="AQ265">
        <v>0</v>
      </c>
      <c r="AR265">
        <f t="shared" si="769"/>
        <v>6</v>
      </c>
      <c r="AS265">
        <f>IF(AND(IFERROR(VLOOKUP(AJ265,Equip!$A:$N,13,FALSE),0)&gt;=5,IFERROR(VLOOKUP(AJ265,Equip!$A:$N,13,FALSE),0)&lt;=9),INT(VLOOKUP(AJ265,Equip!$A:$N,6,FALSE)*SQRT(AN265)),0)</f>
        <v>0</v>
      </c>
      <c r="AT265">
        <f>IF(AND(IFERROR(VLOOKUP(AK265,Equip!$A:$N,13,FALSE),0)&gt;=5,IFERROR(VLOOKUP(AK265,Equip!$A:$N,13,FALSE),0)&lt;=9),INT(VLOOKUP(AK265,Equip!$A:$N,6,FALSE)*SQRT(AO265)),0)</f>
        <v>0</v>
      </c>
      <c r="AU265">
        <f>IF(AND(IFERROR(VLOOKUP(AL265,Equip!$A:$N,13,FALSE),0)&gt;=5,IFERROR(VLOOKUP(AL265,Equip!$A:$N,13,FALSE),0)&lt;=9),INT(VLOOKUP(AL265,Equip!$A:$N,6,FALSE)*SQRT(AP265)),0)</f>
        <v>0</v>
      </c>
      <c r="AV265">
        <f>IF(AND(IFERROR(VLOOKUP(AM265,Equip!$A:$N,13,FALSE),0)&gt;=5,IFERROR(VLOOKUP(AM265,Equip!$A:$N,13,FALSE),0)&lt;=9),INT(VLOOKUP(AM265,Equip!$A:$N,6,FALSE)*SQRT(AQ265)),0)</f>
        <v>0</v>
      </c>
      <c r="AW265">
        <f t="shared" si="770"/>
        <v>0</v>
      </c>
      <c r="AX265">
        <f t="shared" si="771"/>
        <v>387</v>
      </c>
    </row>
    <row r="266" spans="1:50">
      <c r="A266">
        <v>116</v>
      </c>
      <c r="B266" t="s">
        <v>835</v>
      </c>
      <c r="C266" t="s">
        <v>835</v>
      </c>
      <c r="D266">
        <v>1</v>
      </c>
      <c r="E266">
        <f>E265</f>
        <v>1970</v>
      </c>
      <c r="F266">
        <f t="shared" ref="F266" si="788">F265</f>
        <v>1085</v>
      </c>
      <c r="G266">
        <f t="shared" ref="G266" si="789">G265</f>
        <v>116</v>
      </c>
      <c r="H266">
        <f t="shared" ref="H266" si="790">H265</f>
        <v>1</v>
      </c>
      <c r="I266">
        <f t="shared" ref="I266" si="791">I265</f>
        <v>1</v>
      </c>
      <c r="J266">
        <f t="shared" ref="J266" si="792">J265</f>
        <v>0</v>
      </c>
      <c r="K266">
        <v>5</v>
      </c>
      <c r="L266">
        <v>4</v>
      </c>
      <c r="M266">
        <v>50</v>
      </c>
      <c r="N266">
        <v>50</v>
      </c>
      <c r="O266">
        <v>37</v>
      </c>
      <c r="P266">
        <v>39</v>
      </c>
      <c r="Q266">
        <v>31</v>
      </c>
      <c r="R266">
        <v>44</v>
      </c>
      <c r="S266">
        <v>30</v>
      </c>
      <c r="T266">
        <v>0</v>
      </c>
      <c r="U266">
        <f t="shared" ref="U266" si="793">U265</f>
        <v>10</v>
      </c>
      <c r="V266">
        <v>33</v>
      </c>
      <c r="W266">
        <f t="shared" ref="W266" si="794">W265</f>
        <v>2</v>
      </c>
      <c r="X266">
        <v>10</v>
      </c>
      <c r="Y266">
        <f t="shared" ref="Y266" si="795">Y265</f>
        <v>0</v>
      </c>
      <c r="Z266">
        <v>50</v>
      </c>
      <c r="AA266">
        <v>55</v>
      </c>
      <c r="AB266">
        <v>76</v>
      </c>
      <c r="AC266">
        <v>69</v>
      </c>
      <c r="AD266">
        <v>59</v>
      </c>
      <c r="AE266">
        <v>71</v>
      </c>
      <c r="AF266">
        <v>69</v>
      </c>
      <c r="AG266">
        <v>69</v>
      </c>
      <c r="AH266">
        <v>0</v>
      </c>
      <c r="AI266">
        <v>59</v>
      </c>
      <c r="AJ266">
        <v>50</v>
      </c>
      <c r="AK266">
        <v>30</v>
      </c>
      <c r="AL266">
        <v>26</v>
      </c>
      <c r="AM266">
        <v>0</v>
      </c>
      <c r="AN266">
        <v>5</v>
      </c>
      <c r="AO266">
        <v>6</v>
      </c>
      <c r="AP266">
        <v>5</v>
      </c>
      <c r="AQ266">
        <v>8</v>
      </c>
      <c r="AR266">
        <f t="shared" si="769"/>
        <v>24</v>
      </c>
      <c r="AS266">
        <f>IF(AND(IFERROR(VLOOKUP(AJ266,Equip!$A:$N,13,FALSE),0)&gt;=5,IFERROR(VLOOKUP(AJ266,Equip!$A:$N,13,FALSE),0)&lt;=9),INT(VLOOKUP(AJ266,Equip!$A:$N,6,FALSE)*SQRT(AN266)),0)</f>
        <v>0</v>
      </c>
      <c r="AT266">
        <f>IF(AND(IFERROR(VLOOKUP(AK266,Equip!$A:$N,13,FALSE),0)&gt;=5,IFERROR(VLOOKUP(AK266,Equip!$A:$N,13,FALSE),0)&lt;=9),INT(VLOOKUP(AK266,Equip!$A:$N,6,FALSE)*SQRT(AO266)),0)</f>
        <v>0</v>
      </c>
      <c r="AU266">
        <f>IF(AND(IFERROR(VLOOKUP(AL266,Equip!$A:$N,13,FALSE),0)&gt;=5,IFERROR(VLOOKUP(AL266,Equip!$A:$N,13,FALSE),0)&lt;=9),INT(VLOOKUP(AL266,Equip!$A:$N,6,FALSE)*SQRT(AP266)),0)</f>
        <v>0</v>
      </c>
      <c r="AV266">
        <f>IF(AND(IFERROR(VLOOKUP(AM266,Equip!$A:$N,13,FALSE),0)&gt;=5,IFERROR(VLOOKUP(AM266,Equip!$A:$N,13,FALSE),0)&lt;=9),INT(VLOOKUP(AM266,Equip!$A:$N,6,FALSE)*SQRT(AQ266)),0)</f>
        <v>0</v>
      </c>
      <c r="AW266">
        <f t="shared" si="770"/>
        <v>0</v>
      </c>
      <c r="AX266">
        <f t="shared" si="771"/>
        <v>453</v>
      </c>
    </row>
    <row r="267" spans="1:50">
      <c r="A267">
        <v>118</v>
      </c>
      <c r="B267" t="s">
        <v>836</v>
      </c>
      <c r="C267" t="s">
        <v>836</v>
      </c>
      <c r="D267">
        <v>0</v>
      </c>
      <c r="E267">
        <v>1320</v>
      </c>
      <c r="F267">
        <v>760</v>
      </c>
      <c r="G267">
        <v>118</v>
      </c>
      <c r="H267">
        <v>1</v>
      </c>
      <c r="I267">
        <v>1</v>
      </c>
      <c r="J267">
        <v>9</v>
      </c>
      <c r="K267">
        <v>1</v>
      </c>
      <c r="L267">
        <v>1</v>
      </c>
      <c r="M267">
        <v>16</v>
      </c>
      <c r="N267">
        <v>16</v>
      </c>
      <c r="O267">
        <v>10</v>
      </c>
      <c r="P267">
        <v>6</v>
      </c>
      <c r="Q267">
        <v>24</v>
      </c>
      <c r="R267">
        <v>45</v>
      </c>
      <c r="S267">
        <v>9</v>
      </c>
      <c r="T267">
        <v>24</v>
      </c>
      <c r="U267">
        <v>10</v>
      </c>
      <c r="V267">
        <v>6</v>
      </c>
      <c r="W267">
        <v>1</v>
      </c>
      <c r="X267">
        <v>10</v>
      </c>
      <c r="Y267">
        <v>0</v>
      </c>
      <c r="Z267">
        <v>15</v>
      </c>
      <c r="AA267">
        <v>20</v>
      </c>
      <c r="AB267">
        <v>29</v>
      </c>
      <c r="AC267">
        <v>69</v>
      </c>
      <c r="AD267">
        <v>39</v>
      </c>
      <c r="AE267">
        <v>19</v>
      </c>
      <c r="AF267">
        <v>49</v>
      </c>
      <c r="AG267">
        <v>79</v>
      </c>
      <c r="AH267">
        <v>49</v>
      </c>
      <c r="AI267">
        <v>19</v>
      </c>
      <c r="AJ267">
        <v>2</v>
      </c>
      <c r="AK267">
        <v>39</v>
      </c>
      <c r="AL267">
        <v>-1</v>
      </c>
      <c r="AM267">
        <v>-1</v>
      </c>
      <c r="AN267">
        <v>0</v>
      </c>
      <c r="AO267">
        <v>0</v>
      </c>
      <c r="AP267">
        <v>0</v>
      </c>
      <c r="AQ267">
        <v>0</v>
      </c>
      <c r="AR267">
        <f t="shared" si="769"/>
        <v>0</v>
      </c>
      <c r="AS267">
        <f>IF(AND(IFERROR(VLOOKUP(AJ267,Equip!$A:$N,13,FALSE),0)&gt;=5,IFERROR(VLOOKUP(AJ267,Equip!$A:$N,13,FALSE),0)&lt;=9),INT(VLOOKUP(AJ267,Equip!$A:$N,6,FALSE)*SQRT(AN267)),0)</f>
        <v>0</v>
      </c>
      <c r="AT267">
        <f>IF(AND(IFERROR(VLOOKUP(AK267,Equip!$A:$N,13,FALSE),0)&gt;=5,IFERROR(VLOOKUP(AK267,Equip!$A:$N,13,FALSE),0)&lt;=9),INT(VLOOKUP(AK267,Equip!$A:$N,6,FALSE)*SQRT(AO267)),0)</f>
        <v>0</v>
      </c>
      <c r="AU267">
        <f>IF(AND(IFERROR(VLOOKUP(AL267,Equip!$A:$N,13,FALSE),0)&gt;=5,IFERROR(VLOOKUP(AL267,Equip!$A:$N,13,FALSE),0)&lt;=9),INT(VLOOKUP(AL267,Equip!$A:$N,6,FALSE)*SQRT(AP267)),0)</f>
        <v>0</v>
      </c>
      <c r="AV267">
        <f>IF(AND(IFERROR(VLOOKUP(AM267,Equip!$A:$N,13,FALSE),0)&gt;=5,IFERROR(VLOOKUP(AM267,Equip!$A:$N,13,FALSE),0)&lt;=9),INT(VLOOKUP(AM267,Equip!$A:$N,6,FALSE)*SQRT(AQ267)),0)</f>
        <v>0</v>
      </c>
      <c r="AW267">
        <f t="shared" si="770"/>
        <v>0</v>
      </c>
      <c r="AX267">
        <f t="shared" si="771"/>
        <v>319</v>
      </c>
    </row>
    <row r="268" spans="1:50">
      <c r="A268">
        <v>118</v>
      </c>
      <c r="B268" t="s">
        <v>836</v>
      </c>
      <c r="C268" t="s">
        <v>836</v>
      </c>
      <c r="D268">
        <v>1</v>
      </c>
      <c r="E268">
        <f>E267</f>
        <v>1320</v>
      </c>
      <c r="F268">
        <f t="shared" ref="F268" si="796">F267</f>
        <v>760</v>
      </c>
      <c r="G268">
        <f t="shared" ref="G268" si="797">G267</f>
        <v>118</v>
      </c>
      <c r="H268">
        <f t="shared" ref="H268" si="798">H267</f>
        <v>1</v>
      </c>
      <c r="I268">
        <f t="shared" ref="I268" si="799">I267</f>
        <v>1</v>
      </c>
      <c r="J268">
        <f t="shared" ref="J268" si="800">J267</f>
        <v>9</v>
      </c>
      <c r="K268">
        <v>1</v>
      </c>
      <c r="L268">
        <v>1</v>
      </c>
      <c r="M268">
        <v>32</v>
      </c>
      <c r="N268">
        <v>32</v>
      </c>
      <c r="O268">
        <v>15</v>
      </c>
      <c r="P268">
        <v>17</v>
      </c>
      <c r="Q268">
        <v>33</v>
      </c>
      <c r="R268">
        <v>55</v>
      </c>
      <c r="S268">
        <v>19</v>
      </c>
      <c r="T268">
        <v>34</v>
      </c>
      <c r="U268">
        <f t="shared" ref="U268" si="801">U267</f>
        <v>10</v>
      </c>
      <c r="V268">
        <v>14</v>
      </c>
      <c r="W268">
        <f t="shared" ref="W268" si="802">W267</f>
        <v>1</v>
      </c>
      <c r="X268">
        <v>12</v>
      </c>
      <c r="Y268">
        <f t="shared" ref="Y268" si="803">Y267</f>
        <v>0</v>
      </c>
      <c r="Z268">
        <v>15</v>
      </c>
      <c r="AA268">
        <v>20</v>
      </c>
      <c r="AB268">
        <v>49</v>
      </c>
      <c r="AC268">
        <v>79</v>
      </c>
      <c r="AD268">
        <v>49</v>
      </c>
      <c r="AE268">
        <v>49</v>
      </c>
      <c r="AF268">
        <v>59</v>
      </c>
      <c r="AG268">
        <v>89</v>
      </c>
      <c r="AH268">
        <v>64</v>
      </c>
      <c r="AI268">
        <v>39</v>
      </c>
      <c r="AJ268">
        <v>3</v>
      </c>
      <c r="AK268">
        <v>15</v>
      </c>
      <c r="AL268">
        <v>0</v>
      </c>
      <c r="AM268">
        <v>-1</v>
      </c>
      <c r="AN268">
        <v>0</v>
      </c>
      <c r="AO268">
        <v>0</v>
      </c>
      <c r="AP268">
        <v>0</v>
      </c>
      <c r="AQ268">
        <v>0</v>
      </c>
      <c r="AR268">
        <f t="shared" si="769"/>
        <v>0</v>
      </c>
      <c r="AS268">
        <f>IF(AND(IFERROR(VLOOKUP(AJ268,Equip!$A:$N,13,FALSE),0)&gt;=5,IFERROR(VLOOKUP(AJ268,Equip!$A:$N,13,FALSE),0)&lt;=9),INT(VLOOKUP(AJ268,Equip!$A:$N,6,FALSE)*SQRT(AN268)),0)</f>
        <v>0</v>
      </c>
      <c r="AT268">
        <f>IF(AND(IFERROR(VLOOKUP(AK268,Equip!$A:$N,13,FALSE),0)&gt;=5,IFERROR(VLOOKUP(AK268,Equip!$A:$N,13,FALSE),0)&lt;=9),INT(VLOOKUP(AK268,Equip!$A:$N,6,FALSE)*SQRT(AO268)),0)</f>
        <v>0</v>
      </c>
      <c r="AU268">
        <f>IF(AND(IFERROR(VLOOKUP(AL268,Equip!$A:$N,13,FALSE),0)&gt;=5,IFERROR(VLOOKUP(AL268,Equip!$A:$N,13,FALSE),0)&lt;=9),INT(VLOOKUP(AL268,Equip!$A:$N,6,FALSE)*SQRT(AP268)),0)</f>
        <v>0</v>
      </c>
      <c r="AV268">
        <f>IF(AND(IFERROR(VLOOKUP(AM268,Equip!$A:$N,13,FALSE),0)&gt;=5,IFERROR(VLOOKUP(AM268,Equip!$A:$N,13,FALSE),0)&lt;=9),INT(VLOOKUP(AM268,Equip!$A:$N,6,FALSE)*SQRT(AQ268)),0)</f>
        <v>0</v>
      </c>
      <c r="AW268">
        <f t="shared" si="770"/>
        <v>0</v>
      </c>
      <c r="AX268">
        <f t="shared" si="771"/>
        <v>450</v>
      </c>
    </row>
    <row r="269" spans="1:50">
      <c r="A269">
        <v>119</v>
      </c>
      <c r="B269" t="s">
        <v>837</v>
      </c>
      <c r="C269" t="s">
        <v>837</v>
      </c>
      <c r="D269">
        <v>0</v>
      </c>
      <c r="E269">
        <v>1320</v>
      </c>
      <c r="F269">
        <v>760</v>
      </c>
      <c r="G269">
        <v>119</v>
      </c>
      <c r="H269">
        <v>1</v>
      </c>
      <c r="I269">
        <v>1</v>
      </c>
      <c r="J269">
        <v>3</v>
      </c>
      <c r="K269">
        <v>1</v>
      </c>
      <c r="L269">
        <v>1</v>
      </c>
      <c r="M269">
        <v>16</v>
      </c>
      <c r="N269">
        <v>16</v>
      </c>
      <c r="O269">
        <v>10</v>
      </c>
      <c r="P269">
        <v>6</v>
      </c>
      <c r="Q269">
        <v>24</v>
      </c>
      <c r="R269">
        <v>45</v>
      </c>
      <c r="S269">
        <v>9</v>
      </c>
      <c r="T269">
        <v>24</v>
      </c>
      <c r="U269">
        <v>10</v>
      </c>
      <c r="V269">
        <v>6</v>
      </c>
      <c r="W269">
        <v>1</v>
      </c>
      <c r="X269">
        <v>10</v>
      </c>
      <c r="Y269">
        <v>0</v>
      </c>
      <c r="Z269">
        <v>15</v>
      </c>
      <c r="AA269">
        <v>20</v>
      </c>
      <c r="AB269">
        <v>29</v>
      </c>
      <c r="AC269">
        <v>69</v>
      </c>
      <c r="AD269">
        <v>39</v>
      </c>
      <c r="AE269">
        <v>19</v>
      </c>
      <c r="AF269">
        <v>49</v>
      </c>
      <c r="AG269">
        <v>79</v>
      </c>
      <c r="AH269">
        <v>49</v>
      </c>
      <c r="AI269">
        <v>19</v>
      </c>
      <c r="AJ269">
        <v>2</v>
      </c>
      <c r="AK269">
        <v>39</v>
      </c>
      <c r="AL269">
        <v>-1</v>
      </c>
      <c r="AM269">
        <v>-1</v>
      </c>
      <c r="AN269">
        <v>0</v>
      </c>
      <c r="AO269">
        <v>0</v>
      </c>
      <c r="AP269">
        <v>0</v>
      </c>
      <c r="AQ269">
        <v>0</v>
      </c>
      <c r="AR269">
        <f t="shared" si="769"/>
        <v>0</v>
      </c>
      <c r="AS269">
        <f>IF(AND(IFERROR(VLOOKUP(AJ269,Equip!$A:$N,13,FALSE),0)&gt;=5,IFERROR(VLOOKUP(AJ269,Equip!$A:$N,13,FALSE),0)&lt;=9),INT(VLOOKUP(AJ269,Equip!$A:$N,6,FALSE)*SQRT(AN269)),0)</f>
        <v>0</v>
      </c>
      <c r="AT269">
        <f>IF(AND(IFERROR(VLOOKUP(AK269,Equip!$A:$N,13,FALSE),0)&gt;=5,IFERROR(VLOOKUP(AK269,Equip!$A:$N,13,FALSE),0)&lt;=9),INT(VLOOKUP(AK269,Equip!$A:$N,6,FALSE)*SQRT(AO269)),0)</f>
        <v>0</v>
      </c>
      <c r="AU269">
        <f>IF(AND(IFERROR(VLOOKUP(AL269,Equip!$A:$N,13,FALSE),0)&gt;=5,IFERROR(VLOOKUP(AL269,Equip!$A:$N,13,FALSE),0)&lt;=9),INT(VLOOKUP(AL269,Equip!$A:$N,6,FALSE)*SQRT(AP269)),0)</f>
        <v>0</v>
      </c>
      <c r="AV269">
        <f>IF(AND(IFERROR(VLOOKUP(AM269,Equip!$A:$N,13,FALSE),0)&gt;=5,IFERROR(VLOOKUP(AM269,Equip!$A:$N,13,FALSE),0)&lt;=9),INT(VLOOKUP(AM269,Equip!$A:$N,6,FALSE)*SQRT(AQ269)),0)</f>
        <v>0</v>
      </c>
      <c r="AW269">
        <f t="shared" si="770"/>
        <v>0</v>
      </c>
      <c r="AX269">
        <f t="shared" si="771"/>
        <v>319</v>
      </c>
    </row>
    <row r="270" spans="1:50">
      <c r="A270">
        <v>119</v>
      </c>
      <c r="B270" t="s">
        <v>837</v>
      </c>
      <c r="C270" t="s">
        <v>837</v>
      </c>
      <c r="D270">
        <v>1</v>
      </c>
      <c r="E270">
        <f>E269</f>
        <v>1320</v>
      </c>
      <c r="F270">
        <f t="shared" ref="F270" si="804">F269</f>
        <v>760</v>
      </c>
      <c r="G270">
        <f t="shared" ref="G270" si="805">G269</f>
        <v>119</v>
      </c>
      <c r="H270">
        <f t="shared" ref="H270" si="806">H269</f>
        <v>1</v>
      </c>
      <c r="I270">
        <f t="shared" ref="I270" si="807">I269</f>
        <v>1</v>
      </c>
      <c r="J270">
        <f t="shared" ref="J270" si="808">J269</f>
        <v>3</v>
      </c>
      <c r="K270">
        <v>1</v>
      </c>
      <c r="L270">
        <v>1</v>
      </c>
      <c r="M270">
        <v>32</v>
      </c>
      <c r="N270">
        <v>32</v>
      </c>
      <c r="O270">
        <v>15</v>
      </c>
      <c r="P270">
        <v>20</v>
      </c>
      <c r="Q270">
        <v>37</v>
      </c>
      <c r="R270">
        <v>55</v>
      </c>
      <c r="S270">
        <v>19</v>
      </c>
      <c r="T270">
        <v>34</v>
      </c>
      <c r="U270">
        <f t="shared" ref="U270" si="809">U269</f>
        <v>10</v>
      </c>
      <c r="V270">
        <v>14</v>
      </c>
      <c r="W270">
        <f t="shared" ref="W270" si="810">W269</f>
        <v>1</v>
      </c>
      <c r="X270">
        <v>12</v>
      </c>
      <c r="Y270">
        <f t="shared" ref="Y270" si="811">Y269</f>
        <v>0</v>
      </c>
      <c r="Z270">
        <v>15</v>
      </c>
      <c r="AA270">
        <v>20</v>
      </c>
      <c r="AB270">
        <v>49</v>
      </c>
      <c r="AC270">
        <v>79</v>
      </c>
      <c r="AD270">
        <v>49</v>
      </c>
      <c r="AE270">
        <v>49</v>
      </c>
      <c r="AF270">
        <v>59</v>
      </c>
      <c r="AG270">
        <v>89</v>
      </c>
      <c r="AH270">
        <v>68</v>
      </c>
      <c r="AI270">
        <v>39</v>
      </c>
      <c r="AJ270">
        <v>3</v>
      </c>
      <c r="AK270">
        <v>15</v>
      </c>
      <c r="AL270">
        <v>0</v>
      </c>
      <c r="AM270">
        <v>-1</v>
      </c>
      <c r="AN270">
        <v>0</v>
      </c>
      <c r="AO270">
        <v>0</v>
      </c>
      <c r="AP270">
        <v>0</v>
      </c>
      <c r="AQ270">
        <v>0</v>
      </c>
      <c r="AR270">
        <f t="shared" si="769"/>
        <v>0</v>
      </c>
      <c r="AS270">
        <f>IF(AND(IFERROR(VLOOKUP(AJ270,Equip!$A:$N,13,FALSE),0)&gt;=5,IFERROR(VLOOKUP(AJ270,Equip!$A:$N,13,FALSE),0)&lt;=9),INT(VLOOKUP(AJ270,Equip!$A:$N,6,FALSE)*SQRT(AN270)),0)</f>
        <v>0</v>
      </c>
      <c r="AT270">
        <f>IF(AND(IFERROR(VLOOKUP(AK270,Equip!$A:$N,13,FALSE),0)&gt;=5,IFERROR(VLOOKUP(AK270,Equip!$A:$N,13,FALSE),0)&lt;=9),INT(VLOOKUP(AK270,Equip!$A:$N,6,FALSE)*SQRT(AO270)),0)</f>
        <v>0</v>
      </c>
      <c r="AU270">
        <f>IF(AND(IFERROR(VLOOKUP(AL270,Equip!$A:$N,13,FALSE),0)&gt;=5,IFERROR(VLOOKUP(AL270,Equip!$A:$N,13,FALSE),0)&lt;=9),INT(VLOOKUP(AL270,Equip!$A:$N,6,FALSE)*SQRT(AP270)),0)</f>
        <v>0</v>
      </c>
      <c r="AV270">
        <f>IF(AND(IFERROR(VLOOKUP(AM270,Equip!$A:$N,13,FALSE),0)&gt;=5,IFERROR(VLOOKUP(AM270,Equip!$A:$N,13,FALSE),0)&lt;=9),INT(VLOOKUP(AM270,Equip!$A:$N,6,FALSE)*SQRT(AQ270)),0)</f>
        <v>0</v>
      </c>
      <c r="AW270">
        <f t="shared" si="770"/>
        <v>0</v>
      </c>
      <c r="AX270">
        <f t="shared" si="771"/>
        <v>454</v>
      </c>
    </row>
    <row r="271" spans="1:50">
      <c r="A271">
        <v>120</v>
      </c>
      <c r="B271" t="s">
        <v>838</v>
      </c>
      <c r="C271" t="s">
        <v>838</v>
      </c>
      <c r="D271">
        <v>0</v>
      </c>
      <c r="E271">
        <v>1903</v>
      </c>
      <c r="F271">
        <v>1051</v>
      </c>
      <c r="G271">
        <v>120</v>
      </c>
      <c r="H271">
        <v>1</v>
      </c>
      <c r="I271">
        <v>1</v>
      </c>
      <c r="J271">
        <v>0</v>
      </c>
      <c r="K271">
        <v>3</v>
      </c>
      <c r="L271">
        <v>4</v>
      </c>
      <c r="M271">
        <v>37</v>
      </c>
      <c r="N271">
        <v>37</v>
      </c>
      <c r="O271">
        <v>30</v>
      </c>
      <c r="P271">
        <v>26</v>
      </c>
      <c r="Q271">
        <v>12</v>
      </c>
      <c r="R271">
        <v>33</v>
      </c>
      <c r="S271">
        <v>16</v>
      </c>
      <c r="T271">
        <v>0</v>
      </c>
      <c r="U271">
        <v>10</v>
      </c>
      <c r="V271">
        <v>11</v>
      </c>
      <c r="W271">
        <v>2</v>
      </c>
      <c r="X271">
        <v>10</v>
      </c>
      <c r="Y271">
        <v>0</v>
      </c>
      <c r="Z271">
        <v>30</v>
      </c>
      <c r="AA271">
        <v>50</v>
      </c>
      <c r="AB271">
        <v>54</v>
      </c>
      <c r="AC271">
        <v>59</v>
      </c>
      <c r="AD271">
        <v>59</v>
      </c>
      <c r="AE271">
        <v>37</v>
      </c>
      <c r="AF271">
        <v>59</v>
      </c>
      <c r="AG271">
        <v>69</v>
      </c>
      <c r="AH271">
        <v>0</v>
      </c>
      <c r="AI271">
        <v>39</v>
      </c>
      <c r="AJ271">
        <v>6</v>
      </c>
      <c r="AK271">
        <v>37</v>
      </c>
      <c r="AL271">
        <v>0</v>
      </c>
      <c r="AM271">
        <v>-1</v>
      </c>
      <c r="AN271">
        <v>2</v>
      </c>
      <c r="AO271">
        <v>2</v>
      </c>
      <c r="AP271">
        <v>2</v>
      </c>
      <c r="AQ271">
        <v>0</v>
      </c>
      <c r="AR271">
        <f t="shared" si="769"/>
        <v>6</v>
      </c>
      <c r="AS271">
        <f>IF(AND(IFERROR(VLOOKUP(AJ271,Equip!$A:$N,13,FALSE),0)&gt;=5,IFERROR(VLOOKUP(AJ271,Equip!$A:$N,13,FALSE),0)&lt;=9),INT(VLOOKUP(AJ271,Equip!$A:$N,6,FALSE)*SQRT(AN271)),0)</f>
        <v>0</v>
      </c>
      <c r="AT271">
        <f>IF(AND(IFERROR(VLOOKUP(AK271,Equip!$A:$N,13,FALSE),0)&gt;=5,IFERROR(VLOOKUP(AK271,Equip!$A:$N,13,FALSE),0)&lt;=9),INT(VLOOKUP(AK271,Equip!$A:$N,6,FALSE)*SQRT(AO271)),0)</f>
        <v>0</v>
      </c>
      <c r="AU271">
        <f>IF(AND(IFERROR(VLOOKUP(AL271,Equip!$A:$N,13,FALSE),0)&gt;=5,IFERROR(VLOOKUP(AL271,Equip!$A:$N,13,FALSE),0)&lt;=9),INT(VLOOKUP(AL271,Equip!$A:$N,6,FALSE)*SQRT(AP271)),0)</f>
        <v>0</v>
      </c>
      <c r="AV271">
        <f>IF(AND(IFERROR(VLOOKUP(AM271,Equip!$A:$N,13,FALSE),0)&gt;=5,IFERROR(VLOOKUP(AM271,Equip!$A:$N,13,FALSE),0)&lt;=9),INT(VLOOKUP(AM271,Equip!$A:$N,6,FALSE)*SQRT(AQ271)),0)</f>
        <v>0</v>
      </c>
      <c r="AW271">
        <f t="shared" si="770"/>
        <v>0</v>
      </c>
      <c r="AX271">
        <f t="shared" si="771"/>
        <v>354</v>
      </c>
    </row>
    <row r="272" spans="1:50">
      <c r="A272">
        <v>120</v>
      </c>
      <c r="B272" t="s">
        <v>838</v>
      </c>
      <c r="C272" t="s">
        <v>838</v>
      </c>
      <c r="D272">
        <v>1</v>
      </c>
      <c r="E272">
        <f t="shared" ref="E272:E273" si="812">E271</f>
        <v>1903</v>
      </c>
      <c r="F272">
        <f t="shared" ref="F272:F273" si="813">F271</f>
        <v>1051</v>
      </c>
      <c r="G272">
        <f t="shared" ref="G272:G273" si="814">G271</f>
        <v>120</v>
      </c>
      <c r="H272">
        <f t="shared" ref="H272:H273" si="815">H271</f>
        <v>1</v>
      </c>
      <c r="I272">
        <f t="shared" ref="I272:I273" si="816">I271</f>
        <v>1</v>
      </c>
      <c r="J272">
        <f t="shared" ref="J272:J273" si="817">J271</f>
        <v>0</v>
      </c>
      <c r="K272">
        <v>3</v>
      </c>
      <c r="L272">
        <v>4</v>
      </c>
      <c r="M272">
        <v>49</v>
      </c>
      <c r="N272">
        <v>49</v>
      </c>
      <c r="O272">
        <v>38</v>
      </c>
      <c r="P272">
        <v>38</v>
      </c>
      <c r="Q272">
        <v>23</v>
      </c>
      <c r="R272">
        <v>47</v>
      </c>
      <c r="S272">
        <v>23</v>
      </c>
      <c r="T272">
        <v>0</v>
      </c>
      <c r="U272">
        <f t="shared" ref="U272:U273" si="818">U271</f>
        <v>10</v>
      </c>
      <c r="V272">
        <v>21</v>
      </c>
      <c r="W272">
        <f t="shared" ref="W272:W273" si="819">W271</f>
        <v>2</v>
      </c>
      <c r="X272">
        <v>13</v>
      </c>
      <c r="Y272">
        <f t="shared" ref="Y272:Y273" si="820">Y271</f>
        <v>0</v>
      </c>
      <c r="Z272">
        <v>35</v>
      </c>
      <c r="AA272">
        <v>60</v>
      </c>
      <c r="AB272">
        <v>66</v>
      </c>
      <c r="AC272">
        <v>59</v>
      </c>
      <c r="AD272">
        <v>59</v>
      </c>
      <c r="AE272">
        <v>64</v>
      </c>
      <c r="AF272">
        <v>65</v>
      </c>
      <c r="AG272">
        <v>75</v>
      </c>
      <c r="AH272">
        <v>0</v>
      </c>
      <c r="AI272">
        <v>49</v>
      </c>
      <c r="AJ272">
        <v>6</v>
      </c>
      <c r="AK272">
        <v>39</v>
      </c>
      <c r="AL272">
        <v>14</v>
      </c>
      <c r="AM272">
        <v>0</v>
      </c>
      <c r="AN272">
        <v>2</v>
      </c>
      <c r="AO272">
        <v>2</v>
      </c>
      <c r="AP272">
        <v>2</v>
      </c>
      <c r="AQ272">
        <v>2</v>
      </c>
      <c r="AR272">
        <f t="shared" si="769"/>
        <v>8</v>
      </c>
      <c r="AS272">
        <f>IF(AND(IFERROR(VLOOKUP(AJ272,Equip!$A:$N,13,FALSE),0)&gt;=5,IFERROR(VLOOKUP(AJ272,Equip!$A:$N,13,FALSE),0)&lt;=9),INT(VLOOKUP(AJ272,Equip!$A:$N,6,FALSE)*SQRT(AN272)),0)</f>
        <v>0</v>
      </c>
      <c r="AT272">
        <f>IF(AND(IFERROR(VLOOKUP(AK272,Equip!$A:$N,13,FALSE),0)&gt;=5,IFERROR(VLOOKUP(AK272,Equip!$A:$N,13,FALSE),0)&lt;=9),INT(VLOOKUP(AK272,Equip!$A:$N,6,FALSE)*SQRT(AO272)),0)</f>
        <v>0</v>
      </c>
      <c r="AU272">
        <f>IF(AND(IFERROR(VLOOKUP(AL272,Equip!$A:$N,13,FALSE),0)&gt;=5,IFERROR(VLOOKUP(AL272,Equip!$A:$N,13,FALSE),0)&lt;=9),INT(VLOOKUP(AL272,Equip!$A:$N,6,FALSE)*SQRT(AP272)),0)</f>
        <v>0</v>
      </c>
      <c r="AV272">
        <f>IF(AND(IFERROR(VLOOKUP(AM272,Equip!$A:$N,13,FALSE),0)&gt;=5,IFERROR(VLOOKUP(AM272,Equip!$A:$N,13,FALSE),0)&lt;=9),INT(VLOOKUP(AM272,Equip!$A:$N,6,FALSE)*SQRT(AQ272)),0)</f>
        <v>0</v>
      </c>
      <c r="AW272">
        <f t="shared" si="770"/>
        <v>0</v>
      </c>
      <c r="AX272">
        <f t="shared" si="771"/>
        <v>421</v>
      </c>
    </row>
    <row r="273" spans="1:50">
      <c r="A273">
        <v>120</v>
      </c>
      <c r="B273" t="s">
        <v>838</v>
      </c>
      <c r="C273" t="s">
        <v>838</v>
      </c>
      <c r="D273">
        <v>2</v>
      </c>
      <c r="E273">
        <f t="shared" si="812"/>
        <v>1903</v>
      </c>
      <c r="F273">
        <f t="shared" si="813"/>
        <v>1051</v>
      </c>
      <c r="G273">
        <f t="shared" si="814"/>
        <v>120</v>
      </c>
      <c r="H273">
        <f t="shared" si="815"/>
        <v>1</v>
      </c>
      <c r="I273">
        <f t="shared" si="816"/>
        <v>1</v>
      </c>
      <c r="J273">
        <f t="shared" si="817"/>
        <v>0</v>
      </c>
      <c r="K273">
        <v>3</v>
      </c>
      <c r="L273">
        <v>4</v>
      </c>
      <c r="M273">
        <v>53</v>
      </c>
      <c r="N273">
        <v>53</v>
      </c>
      <c r="O273">
        <v>56</v>
      </c>
      <c r="P273">
        <v>44</v>
      </c>
      <c r="Q273">
        <v>24</v>
      </c>
      <c r="R273">
        <v>60</v>
      </c>
      <c r="S273">
        <v>42</v>
      </c>
      <c r="T273">
        <v>0</v>
      </c>
      <c r="U273">
        <f t="shared" si="818"/>
        <v>10</v>
      </c>
      <c r="V273">
        <v>35</v>
      </c>
      <c r="W273">
        <f t="shared" si="819"/>
        <v>2</v>
      </c>
      <c r="X273">
        <v>20</v>
      </c>
      <c r="Y273">
        <f t="shared" si="820"/>
        <v>0</v>
      </c>
      <c r="Z273">
        <v>35</v>
      </c>
      <c r="AA273">
        <v>65</v>
      </c>
      <c r="AB273">
        <v>74</v>
      </c>
      <c r="AC273">
        <v>74</v>
      </c>
      <c r="AD273">
        <v>66</v>
      </c>
      <c r="AE273">
        <v>73</v>
      </c>
      <c r="AF273">
        <v>69</v>
      </c>
      <c r="AG273">
        <v>77</v>
      </c>
      <c r="AH273">
        <v>0</v>
      </c>
      <c r="AI273">
        <v>54</v>
      </c>
      <c r="AJ273">
        <v>50</v>
      </c>
      <c r="AK273">
        <v>15</v>
      </c>
      <c r="AL273">
        <v>0</v>
      </c>
      <c r="AM273">
        <v>0</v>
      </c>
      <c r="AN273">
        <v>2</v>
      </c>
      <c r="AO273">
        <v>2</v>
      </c>
      <c r="AP273">
        <v>2</v>
      </c>
      <c r="AQ273">
        <v>2</v>
      </c>
      <c r="AR273">
        <f t="shared" si="769"/>
        <v>8</v>
      </c>
      <c r="AS273">
        <f>IF(AND(IFERROR(VLOOKUP(AJ273,Equip!$A:$N,13,FALSE),0)&gt;=5,IFERROR(VLOOKUP(AJ273,Equip!$A:$N,13,FALSE),0)&lt;=9),INT(VLOOKUP(AJ273,Equip!$A:$N,6,FALSE)*SQRT(AN273)),0)</f>
        <v>0</v>
      </c>
      <c r="AT273">
        <f>IF(AND(IFERROR(VLOOKUP(AK273,Equip!$A:$N,13,FALSE),0)&gt;=5,IFERROR(VLOOKUP(AK273,Equip!$A:$N,13,FALSE),0)&lt;=9),INT(VLOOKUP(AK273,Equip!$A:$N,6,FALSE)*SQRT(AO273)),0)</f>
        <v>0</v>
      </c>
      <c r="AU273">
        <f>IF(AND(IFERROR(VLOOKUP(AL273,Equip!$A:$N,13,FALSE),0)&gt;=5,IFERROR(VLOOKUP(AL273,Equip!$A:$N,13,FALSE),0)&lt;=9),INT(VLOOKUP(AL273,Equip!$A:$N,6,FALSE)*SQRT(AP273)),0)</f>
        <v>0</v>
      </c>
      <c r="AV273">
        <f>IF(AND(IFERROR(VLOOKUP(AM273,Equip!$A:$N,13,FALSE),0)&gt;=5,IFERROR(VLOOKUP(AM273,Equip!$A:$N,13,FALSE),0)&lt;=9),INT(VLOOKUP(AM273,Equip!$A:$N,6,FALSE)*SQRT(AQ273)),0)</f>
        <v>0</v>
      </c>
      <c r="AW273">
        <f t="shared" si="770"/>
        <v>0</v>
      </c>
      <c r="AX273">
        <f t="shared" si="771"/>
        <v>471</v>
      </c>
    </row>
    <row r="274" spans="1:50">
      <c r="A274">
        <v>123</v>
      </c>
      <c r="B274" t="s">
        <v>839</v>
      </c>
      <c r="C274" t="s">
        <v>839</v>
      </c>
      <c r="D274">
        <v>0</v>
      </c>
      <c r="E274">
        <v>1247</v>
      </c>
      <c r="F274">
        <v>723</v>
      </c>
      <c r="G274">
        <v>123</v>
      </c>
      <c r="H274">
        <v>1</v>
      </c>
      <c r="I274">
        <v>1</v>
      </c>
      <c r="J274">
        <v>11</v>
      </c>
      <c r="K274">
        <v>14</v>
      </c>
      <c r="L274">
        <v>1</v>
      </c>
      <c r="M274">
        <v>14</v>
      </c>
      <c r="N274">
        <v>14</v>
      </c>
      <c r="O274">
        <v>2</v>
      </c>
      <c r="P274">
        <v>4</v>
      </c>
      <c r="Q274">
        <v>36</v>
      </c>
      <c r="R274">
        <v>12</v>
      </c>
      <c r="S274">
        <v>0</v>
      </c>
      <c r="T274">
        <v>0</v>
      </c>
      <c r="U274">
        <v>5</v>
      </c>
      <c r="V274">
        <v>10</v>
      </c>
      <c r="W274">
        <v>1</v>
      </c>
      <c r="X274">
        <v>12</v>
      </c>
      <c r="Y274">
        <v>0</v>
      </c>
      <c r="Z274">
        <v>10</v>
      </c>
      <c r="AA274">
        <v>20</v>
      </c>
      <c r="AB274">
        <v>9</v>
      </c>
      <c r="AC274">
        <v>79</v>
      </c>
      <c r="AD274">
        <v>0</v>
      </c>
      <c r="AE274">
        <v>18</v>
      </c>
      <c r="AF274">
        <v>12</v>
      </c>
      <c r="AG274">
        <v>36</v>
      </c>
      <c r="AH274">
        <v>0</v>
      </c>
      <c r="AI274">
        <v>39</v>
      </c>
      <c r="AJ274">
        <v>0</v>
      </c>
      <c r="AK274">
        <v>-1</v>
      </c>
      <c r="AL274">
        <v>-1</v>
      </c>
      <c r="AM274">
        <v>-1</v>
      </c>
      <c r="AN274">
        <v>0</v>
      </c>
      <c r="AO274">
        <v>0</v>
      </c>
      <c r="AP274">
        <v>0</v>
      </c>
      <c r="AQ274">
        <v>0</v>
      </c>
      <c r="AR274">
        <f t="shared" si="769"/>
        <v>0</v>
      </c>
      <c r="AS274">
        <f>IF(AND(IFERROR(VLOOKUP(AJ274,Equip!$A:$N,13,FALSE),0)&gt;=5,IFERROR(VLOOKUP(AJ274,Equip!$A:$N,13,FALSE),0)&lt;=9),INT(VLOOKUP(AJ274,Equip!$A:$N,6,FALSE)*SQRT(AN274)),0)</f>
        <v>0</v>
      </c>
      <c r="AT274">
        <f>IF(AND(IFERROR(VLOOKUP(AK274,Equip!$A:$N,13,FALSE),0)&gt;=5,IFERROR(VLOOKUP(AK274,Equip!$A:$N,13,FALSE),0)&lt;=9),INT(VLOOKUP(AK274,Equip!$A:$N,6,FALSE)*SQRT(AO274)),0)</f>
        <v>0</v>
      </c>
      <c r="AU274">
        <f>IF(AND(IFERROR(VLOOKUP(AL274,Equip!$A:$N,13,FALSE),0)&gt;=5,IFERROR(VLOOKUP(AL274,Equip!$A:$N,13,FALSE),0)&lt;=9),INT(VLOOKUP(AL274,Equip!$A:$N,6,FALSE)*SQRT(AP274)),0)</f>
        <v>0</v>
      </c>
      <c r="AV274">
        <f>IF(AND(IFERROR(VLOOKUP(AM274,Equip!$A:$N,13,FALSE),0)&gt;=5,IFERROR(VLOOKUP(AM274,Equip!$A:$N,13,FALSE),0)&lt;=9),INT(VLOOKUP(AM274,Equip!$A:$N,6,FALSE)*SQRT(AQ274)),0)</f>
        <v>0</v>
      </c>
      <c r="AW274">
        <f t="shared" si="770"/>
        <v>0</v>
      </c>
      <c r="AX274">
        <f t="shared" si="771"/>
        <v>195</v>
      </c>
    </row>
    <row r="275" spans="1:50">
      <c r="A275">
        <v>123</v>
      </c>
      <c r="B275" t="s">
        <v>839</v>
      </c>
      <c r="C275" t="s">
        <v>839</v>
      </c>
      <c r="D275">
        <v>1</v>
      </c>
      <c r="E275">
        <f>E274</f>
        <v>1247</v>
      </c>
      <c r="F275">
        <f t="shared" ref="F275" si="821">F274</f>
        <v>723</v>
      </c>
      <c r="G275">
        <f t="shared" ref="G275" si="822">G274</f>
        <v>123</v>
      </c>
      <c r="H275">
        <f t="shared" ref="H275" si="823">H274</f>
        <v>1</v>
      </c>
      <c r="I275">
        <f t="shared" ref="I275" si="824">I274</f>
        <v>1</v>
      </c>
      <c r="J275">
        <f t="shared" ref="J275" si="825">J274</f>
        <v>11</v>
      </c>
      <c r="K275">
        <v>13</v>
      </c>
      <c r="L275">
        <v>1</v>
      </c>
      <c r="M275">
        <v>18</v>
      </c>
      <c r="N275">
        <v>18</v>
      </c>
      <c r="O275">
        <v>7</v>
      </c>
      <c r="P275">
        <v>11</v>
      </c>
      <c r="Q275">
        <v>52</v>
      </c>
      <c r="R275">
        <v>31</v>
      </c>
      <c r="S275">
        <v>0</v>
      </c>
      <c r="T275">
        <v>0</v>
      </c>
      <c r="U275">
        <f t="shared" ref="U275" si="826">U274</f>
        <v>5</v>
      </c>
      <c r="V275">
        <v>27</v>
      </c>
      <c r="W275">
        <f t="shared" ref="W275" si="827">W274</f>
        <v>1</v>
      </c>
      <c r="X275">
        <v>13</v>
      </c>
      <c r="Y275">
        <f t="shared" ref="Y275" si="828">Y274</f>
        <v>0</v>
      </c>
      <c r="Z275">
        <v>10</v>
      </c>
      <c r="AA275">
        <v>25</v>
      </c>
      <c r="AB275">
        <v>12</v>
      </c>
      <c r="AC275">
        <v>89</v>
      </c>
      <c r="AD275">
        <v>0</v>
      </c>
      <c r="AE275">
        <v>19</v>
      </c>
      <c r="AF275">
        <v>49</v>
      </c>
      <c r="AG275">
        <v>49</v>
      </c>
      <c r="AH275">
        <v>0</v>
      </c>
      <c r="AI275">
        <v>39</v>
      </c>
      <c r="AJ275">
        <v>0</v>
      </c>
      <c r="AK275">
        <v>0</v>
      </c>
      <c r="AL275">
        <v>-1</v>
      </c>
      <c r="AM275">
        <v>-1</v>
      </c>
      <c r="AN275">
        <v>1</v>
      </c>
      <c r="AO275">
        <v>1</v>
      </c>
      <c r="AP275">
        <v>0</v>
      </c>
      <c r="AQ275">
        <v>0</v>
      </c>
      <c r="AR275">
        <f t="shared" si="769"/>
        <v>2</v>
      </c>
      <c r="AS275">
        <f>IF(AND(IFERROR(VLOOKUP(AJ275,Equip!$A:$N,13,FALSE),0)&gt;=5,IFERROR(VLOOKUP(AJ275,Equip!$A:$N,13,FALSE),0)&lt;=9),INT(VLOOKUP(AJ275,Equip!$A:$N,6,FALSE)*SQRT(AN275)),0)</f>
        <v>0</v>
      </c>
      <c r="AT275">
        <f>IF(AND(IFERROR(VLOOKUP(AK275,Equip!$A:$N,13,FALSE),0)&gt;=5,IFERROR(VLOOKUP(AK275,Equip!$A:$N,13,FALSE),0)&lt;=9),INT(VLOOKUP(AK275,Equip!$A:$N,6,FALSE)*SQRT(AO275)),0)</f>
        <v>0</v>
      </c>
      <c r="AU275">
        <f>IF(AND(IFERROR(VLOOKUP(AL275,Equip!$A:$N,13,FALSE),0)&gt;=5,IFERROR(VLOOKUP(AL275,Equip!$A:$N,13,FALSE),0)&lt;=9),INT(VLOOKUP(AL275,Equip!$A:$N,6,FALSE)*SQRT(AP275)),0)</f>
        <v>0</v>
      </c>
      <c r="AV275">
        <f>IF(AND(IFERROR(VLOOKUP(AM275,Equip!$A:$N,13,FALSE),0)&gt;=5,IFERROR(VLOOKUP(AM275,Equip!$A:$N,13,FALSE),0)&lt;=9),INT(VLOOKUP(AM275,Equip!$A:$N,6,FALSE)*SQRT(AQ275)),0)</f>
        <v>0</v>
      </c>
      <c r="AW275">
        <f t="shared" si="770"/>
        <v>0</v>
      </c>
      <c r="AX275">
        <f t="shared" si="771"/>
        <v>226</v>
      </c>
    </row>
    <row r="276" spans="1:50">
      <c r="A276">
        <v>124</v>
      </c>
      <c r="B276" t="s">
        <v>840</v>
      </c>
      <c r="C276" t="s">
        <v>840</v>
      </c>
      <c r="D276">
        <v>0</v>
      </c>
      <c r="E276">
        <v>1970</v>
      </c>
      <c r="F276">
        <v>1085</v>
      </c>
      <c r="G276">
        <v>124</v>
      </c>
      <c r="H276">
        <v>1</v>
      </c>
      <c r="I276">
        <v>1</v>
      </c>
      <c r="J276">
        <v>6</v>
      </c>
      <c r="K276">
        <v>3</v>
      </c>
      <c r="L276">
        <v>4</v>
      </c>
      <c r="M276">
        <v>40</v>
      </c>
      <c r="N276">
        <v>40</v>
      </c>
      <c r="O276">
        <v>40</v>
      </c>
      <c r="P276">
        <v>30</v>
      </c>
      <c r="Q276">
        <v>18</v>
      </c>
      <c r="R276">
        <v>31</v>
      </c>
      <c r="S276">
        <v>18</v>
      </c>
      <c r="T276">
        <v>0</v>
      </c>
      <c r="U276">
        <v>10</v>
      </c>
      <c r="V276">
        <v>14</v>
      </c>
      <c r="W276">
        <v>2</v>
      </c>
      <c r="X276">
        <v>5</v>
      </c>
      <c r="Y276">
        <v>0</v>
      </c>
      <c r="Z276">
        <v>40</v>
      </c>
      <c r="AA276">
        <v>65</v>
      </c>
      <c r="AB276">
        <v>59</v>
      </c>
      <c r="AC276">
        <v>69</v>
      </c>
      <c r="AD276">
        <v>59</v>
      </c>
      <c r="AE276">
        <v>59</v>
      </c>
      <c r="AF276">
        <v>49</v>
      </c>
      <c r="AG276">
        <v>62</v>
      </c>
      <c r="AH276">
        <v>0</v>
      </c>
      <c r="AI276">
        <v>39</v>
      </c>
      <c r="AJ276">
        <v>6</v>
      </c>
      <c r="AK276">
        <v>25</v>
      </c>
      <c r="AL276">
        <v>0</v>
      </c>
      <c r="AM276">
        <v>-1</v>
      </c>
      <c r="AN276">
        <v>2</v>
      </c>
      <c r="AO276">
        <v>2</v>
      </c>
      <c r="AP276">
        <v>2</v>
      </c>
      <c r="AQ276">
        <v>2</v>
      </c>
      <c r="AR276">
        <f t="shared" si="769"/>
        <v>8</v>
      </c>
      <c r="AS276">
        <f>IF(AND(IFERROR(VLOOKUP(AJ276,Equip!$A:$N,13,FALSE),0)&gt;=5,IFERROR(VLOOKUP(AJ276,Equip!$A:$N,13,FALSE),0)&lt;=9),INT(VLOOKUP(AJ276,Equip!$A:$N,6,FALSE)*SQRT(AN276)),0)</f>
        <v>0</v>
      </c>
      <c r="AT276">
        <f>IF(AND(IFERROR(VLOOKUP(AK276,Equip!$A:$N,13,FALSE),0)&gt;=5,IFERROR(VLOOKUP(AK276,Equip!$A:$N,13,FALSE),0)&lt;=9),INT(VLOOKUP(AK276,Equip!$A:$N,6,FALSE)*SQRT(AO276)),0)</f>
        <v>0</v>
      </c>
      <c r="AU276">
        <f>IF(AND(IFERROR(VLOOKUP(AL276,Equip!$A:$N,13,FALSE),0)&gt;=5,IFERROR(VLOOKUP(AL276,Equip!$A:$N,13,FALSE),0)&lt;=9),INT(VLOOKUP(AL276,Equip!$A:$N,6,FALSE)*SQRT(AP276)),0)</f>
        <v>0</v>
      </c>
      <c r="AV276">
        <f>IF(AND(IFERROR(VLOOKUP(AM276,Equip!$A:$N,13,FALSE),0)&gt;=5,IFERROR(VLOOKUP(AM276,Equip!$A:$N,13,FALSE),0)&lt;=9),INT(VLOOKUP(AM276,Equip!$A:$N,6,FALSE)*SQRT(AQ276)),0)</f>
        <v>0</v>
      </c>
      <c r="AW276">
        <f t="shared" si="770"/>
        <v>0</v>
      </c>
      <c r="AX276">
        <f t="shared" si="771"/>
        <v>387</v>
      </c>
    </row>
    <row r="277" spans="1:50">
      <c r="A277">
        <v>124</v>
      </c>
      <c r="B277" t="s">
        <v>840</v>
      </c>
      <c r="C277" t="s">
        <v>840</v>
      </c>
      <c r="D277">
        <v>1</v>
      </c>
      <c r="E277">
        <f t="shared" ref="E277:E279" si="829">E276</f>
        <v>1970</v>
      </c>
      <c r="F277">
        <f t="shared" ref="F277:F279" si="830">F276</f>
        <v>1085</v>
      </c>
      <c r="G277">
        <f t="shared" ref="G277:G279" si="831">G276</f>
        <v>124</v>
      </c>
      <c r="H277">
        <f t="shared" ref="H277:H279" si="832">H276</f>
        <v>1</v>
      </c>
      <c r="I277">
        <f t="shared" ref="I277:I279" si="833">I276</f>
        <v>1</v>
      </c>
      <c r="J277">
        <f t="shared" ref="J277:J279" si="834">J276</f>
        <v>6</v>
      </c>
      <c r="K277">
        <v>5</v>
      </c>
      <c r="L277">
        <v>4</v>
      </c>
      <c r="M277">
        <v>50</v>
      </c>
      <c r="N277">
        <v>50</v>
      </c>
      <c r="O277">
        <v>32</v>
      </c>
      <c r="P277">
        <v>42</v>
      </c>
      <c r="Q277">
        <v>33</v>
      </c>
      <c r="R277">
        <v>49</v>
      </c>
      <c r="S277">
        <v>32</v>
      </c>
      <c r="T277">
        <v>0</v>
      </c>
      <c r="U277">
        <f t="shared" ref="U277:U279" si="835">U276</f>
        <v>10</v>
      </c>
      <c r="V277">
        <v>35</v>
      </c>
      <c r="W277">
        <f t="shared" ref="W277:W279" si="836">W276</f>
        <v>2</v>
      </c>
      <c r="X277">
        <v>10</v>
      </c>
      <c r="Y277">
        <f t="shared" ref="Y277:Y279" si="837">Y276</f>
        <v>0</v>
      </c>
      <c r="Z277">
        <v>50</v>
      </c>
      <c r="AA277">
        <v>55</v>
      </c>
      <c r="AB277">
        <v>75</v>
      </c>
      <c r="AC277">
        <v>69</v>
      </c>
      <c r="AD277">
        <v>59</v>
      </c>
      <c r="AE277">
        <v>72</v>
      </c>
      <c r="AF277">
        <v>69</v>
      </c>
      <c r="AG277">
        <v>69</v>
      </c>
      <c r="AH277">
        <v>0</v>
      </c>
      <c r="AI277">
        <v>59</v>
      </c>
      <c r="AJ277">
        <v>6</v>
      </c>
      <c r="AK277">
        <v>30</v>
      </c>
      <c r="AL277">
        <v>26</v>
      </c>
      <c r="AM277">
        <v>0</v>
      </c>
      <c r="AN277">
        <v>5</v>
      </c>
      <c r="AO277">
        <v>6</v>
      </c>
      <c r="AP277">
        <v>5</v>
      </c>
      <c r="AQ277">
        <v>6</v>
      </c>
      <c r="AR277">
        <f t="shared" si="769"/>
        <v>22</v>
      </c>
      <c r="AS277">
        <f>IF(AND(IFERROR(VLOOKUP(AJ277,Equip!$A:$N,13,FALSE),0)&gt;=5,IFERROR(VLOOKUP(AJ277,Equip!$A:$N,13,FALSE),0)&lt;=9),INT(VLOOKUP(AJ277,Equip!$A:$N,6,FALSE)*SQRT(AN277)),0)</f>
        <v>0</v>
      </c>
      <c r="AT277">
        <f>IF(AND(IFERROR(VLOOKUP(AK277,Equip!$A:$N,13,FALSE),0)&gt;=5,IFERROR(VLOOKUP(AK277,Equip!$A:$N,13,FALSE),0)&lt;=9),INT(VLOOKUP(AK277,Equip!$A:$N,6,FALSE)*SQRT(AO277)),0)</f>
        <v>0</v>
      </c>
      <c r="AU277">
        <f>IF(AND(IFERROR(VLOOKUP(AL277,Equip!$A:$N,13,FALSE),0)&gt;=5,IFERROR(VLOOKUP(AL277,Equip!$A:$N,13,FALSE),0)&lt;=9),INT(VLOOKUP(AL277,Equip!$A:$N,6,FALSE)*SQRT(AP277)),0)</f>
        <v>0</v>
      </c>
      <c r="AV277">
        <f>IF(AND(IFERROR(VLOOKUP(AM277,Equip!$A:$N,13,FALSE),0)&gt;=5,IFERROR(VLOOKUP(AM277,Equip!$A:$N,13,FALSE),0)&lt;=9),INT(VLOOKUP(AM277,Equip!$A:$N,6,FALSE)*SQRT(AQ277)),0)</f>
        <v>0</v>
      </c>
      <c r="AW277">
        <f t="shared" si="770"/>
        <v>0</v>
      </c>
      <c r="AX277">
        <f t="shared" si="771"/>
        <v>453</v>
      </c>
    </row>
    <row r="278" spans="1:50">
      <c r="A278">
        <v>124</v>
      </c>
      <c r="B278" t="s">
        <v>840</v>
      </c>
      <c r="C278" t="s">
        <v>840</v>
      </c>
      <c r="D278">
        <v>2</v>
      </c>
      <c r="E278">
        <f t="shared" si="829"/>
        <v>1970</v>
      </c>
      <c r="F278">
        <f t="shared" si="830"/>
        <v>1085</v>
      </c>
      <c r="G278">
        <f t="shared" si="831"/>
        <v>124</v>
      </c>
      <c r="H278">
        <f t="shared" si="832"/>
        <v>1</v>
      </c>
      <c r="I278">
        <f t="shared" si="833"/>
        <v>1</v>
      </c>
      <c r="J278">
        <f t="shared" si="834"/>
        <v>6</v>
      </c>
      <c r="K278">
        <v>5</v>
      </c>
      <c r="L278">
        <v>4</v>
      </c>
      <c r="M278">
        <v>61</v>
      </c>
      <c r="N278">
        <v>61</v>
      </c>
      <c r="O278">
        <v>32</v>
      </c>
      <c r="P278">
        <v>42</v>
      </c>
      <c r="Q278">
        <v>40</v>
      </c>
      <c r="R278">
        <v>49</v>
      </c>
      <c r="S278">
        <v>32</v>
      </c>
      <c r="T278">
        <v>0</v>
      </c>
      <c r="U278">
        <f t="shared" si="835"/>
        <v>10</v>
      </c>
      <c r="V278">
        <v>35</v>
      </c>
      <c r="W278">
        <f t="shared" si="836"/>
        <v>2</v>
      </c>
      <c r="X278">
        <v>14</v>
      </c>
      <c r="Y278">
        <f t="shared" si="837"/>
        <v>0</v>
      </c>
      <c r="Z278">
        <v>55</v>
      </c>
      <c r="AA278">
        <v>60</v>
      </c>
      <c r="AB278">
        <v>76</v>
      </c>
      <c r="AC278">
        <v>88</v>
      </c>
      <c r="AD278">
        <v>85</v>
      </c>
      <c r="AE278">
        <v>74</v>
      </c>
      <c r="AF278">
        <v>74</v>
      </c>
      <c r="AG278">
        <v>82</v>
      </c>
      <c r="AH278">
        <v>0</v>
      </c>
      <c r="AI278">
        <v>82</v>
      </c>
      <c r="AJ278">
        <v>0</v>
      </c>
      <c r="AK278">
        <v>0</v>
      </c>
      <c r="AL278">
        <v>0</v>
      </c>
      <c r="AM278">
        <v>0</v>
      </c>
      <c r="AN278">
        <v>3</v>
      </c>
      <c r="AO278">
        <v>3</v>
      </c>
      <c r="AP278">
        <v>7</v>
      </c>
      <c r="AQ278">
        <v>11</v>
      </c>
      <c r="AR278">
        <f t="shared" si="769"/>
        <v>24</v>
      </c>
      <c r="AS278">
        <f>IF(AND(IFERROR(VLOOKUP(AJ278,Equip!$A:$N,13,FALSE),0)&gt;=5,IFERROR(VLOOKUP(AJ278,Equip!$A:$N,13,FALSE),0)&lt;=9),INT(VLOOKUP(AJ278,Equip!$A:$N,6,FALSE)*SQRT(AN278)),0)</f>
        <v>0</v>
      </c>
      <c r="AT278">
        <f>IF(AND(IFERROR(VLOOKUP(AK278,Equip!$A:$N,13,FALSE),0)&gt;=5,IFERROR(VLOOKUP(AK278,Equip!$A:$N,13,FALSE),0)&lt;=9),INT(VLOOKUP(AK278,Equip!$A:$N,6,FALSE)*SQRT(AO278)),0)</f>
        <v>0</v>
      </c>
      <c r="AU278">
        <f>IF(AND(IFERROR(VLOOKUP(AL278,Equip!$A:$N,13,FALSE),0)&gt;=5,IFERROR(VLOOKUP(AL278,Equip!$A:$N,13,FALSE),0)&lt;=9),INT(VLOOKUP(AL278,Equip!$A:$N,6,FALSE)*SQRT(AP278)),0)</f>
        <v>0</v>
      </c>
      <c r="AV278">
        <f>IF(AND(IFERROR(VLOOKUP(AM278,Equip!$A:$N,13,FALSE),0)&gt;=5,IFERROR(VLOOKUP(AM278,Equip!$A:$N,13,FALSE),0)&lt;=9),INT(VLOOKUP(AM278,Equip!$A:$N,6,FALSE)*SQRT(AQ278)),0)</f>
        <v>0</v>
      </c>
      <c r="AW278">
        <f t="shared" si="770"/>
        <v>0</v>
      </c>
      <c r="AX278">
        <f t="shared" si="771"/>
        <v>548</v>
      </c>
    </row>
    <row r="279" spans="1:50">
      <c r="A279">
        <v>124</v>
      </c>
      <c r="B279" t="s">
        <v>840</v>
      </c>
      <c r="C279" t="s">
        <v>840</v>
      </c>
      <c r="D279">
        <v>3</v>
      </c>
      <c r="E279">
        <f t="shared" si="829"/>
        <v>1970</v>
      </c>
      <c r="F279">
        <f t="shared" si="830"/>
        <v>1085</v>
      </c>
      <c r="G279">
        <f t="shared" si="831"/>
        <v>124</v>
      </c>
      <c r="H279">
        <f t="shared" si="832"/>
        <v>1</v>
      </c>
      <c r="I279">
        <f t="shared" si="833"/>
        <v>1</v>
      </c>
      <c r="J279">
        <f t="shared" si="834"/>
        <v>6</v>
      </c>
      <c r="K279">
        <v>9</v>
      </c>
      <c r="L279">
        <v>4</v>
      </c>
      <c r="M279">
        <v>61</v>
      </c>
      <c r="N279">
        <v>61</v>
      </c>
      <c r="O279">
        <v>0</v>
      </c>
      <c r="P279">
        <v>42</v>
      </c>
      <c r="Q279">
        <v>0</v>
      </c>
      <c r="R279">
        <v>49</v>
      </c>
      <c r="S279">
        <v>33</v>
      </c>
      <c r="T279">
        <v>0</v>
      </c>
      <c r="U279">
        <f t="shared" si="835"/>
        <v>10</v>
      </c>
      <c r="V279">
        <v>46</v>
      </c>
      <c r="W279">
        <f t="shared" si="836"/>
        <v>2</v>
      </c>
      <c r="X279">
        <v>13</v>
      </c>
      <c r="Y279">
        <f t="shared" si="837"/>
        <v>0</v>
      </c>
      <c r="Z279">
        <v>60</v>
      </c>
      <c r="AA279">
        <v>55</v>
      </c>
      <c r="AB279">
        <v>56</v>
      </c>
      <c r="AC279">
        <v>0</v>
      </c>
      <c r="AD279">
        <v>87</v>
      </c>
      <c r="AE279">
        <v>74</v>
      </c>
      <c r="AF279">
        <v>74</v>
      </c>
      <c r="AG279">
        <v>83</v>
      </c>
      <c r="AH279">
        <v>0</v>
      </c>
      <c r="AI279">
        <v>85</v>
      </c>
      <c r="AJ279">
        <v>0</v>
      </c>
      <c r="AK279">
        <v>0</v>
      </c>
      <c r="AL279">
        <v>0</v>
      </c>
      <c r="AM279">
        <v>0</v>
      </c>
      <c r="AN279">
        <v>15</v>
      </c>
      <c r="AO279">
        <v>12</v>
      </c>
      <c r="AP279">
        <v>12</v>
      </c>
      <c r="AQ279">
        <v>8</v>
      </c>
      <c r="AR279">
        <f t="shared" si="769"/>
        <v>47</v>
      </c>
      <c r="AS279">
        <f>IF(AND(IFERROR(VLOOKUP(AJ279,Equip!$A:$N,13,FALSE),0)&gt;=5,IFERROR(VLOOKUP(AJ279,Equip!$A:$N,13,FALSE),0)&lt;=9),INT(VLOOKUP(AJ279,Equip!$A:$N,6,FALSE)*SQRT(AN279)),0)</f>
        <v>0</v>
      </c>
      <c r="AT279">
        <f>IF(AND(IFERROR(VLOOKUP(AK279,Equip!$A:$N,13,FALSE),0)&gt;=5,IFERROR(VLOOKUP(AK279,Equip!$A:$N,13,FALSE),0)&lt;=9),INT(VLOOKUP(AK279,Equip!$A:$N,6,FALSE)*SQRT(AO279)),0)</f>
        <v>0</v>
      </c>
      <c r="AU279">
        <f>IF(AND(IFERROR(VLOOKUP(AL279,Equip!$A:$N,13,FALSE),0)&gt;=5,IFERROR(VLOOKUP(AL279,Equip!$A:$N,13,FALSE),0)&lt;=9),INT(VLOOKUP(AL279,Equip!$A:$N,6,FALSE)*SQRT(AP279)),0)</f>
        <v>0</v>
      </c>
      <c r="AV279">
        <f>IF(AND(IFERROR(VLOOKUP(AM279,Equip!$A:$N,13,FALSE),0)&gt;=5,IFERROR(VLOOKUP(AM279,Equip!$A:$N,13,FALSE),0)&lt;=9),INT(VLOOKUP(AM279,Equip!$A:$N,6,FALSE)*SQRT(AQ279)),0)</f>
        <v>0</v>
      </c>
      <c r="AW279">
        <f t="shared" si="770"/>
        <v>0</v>
      </c>
      <c r="AX279">
        <f t="shared" si="771"/>
        <v>446</v>
      </c>
    </row>
    <row r="280" spans="1:50">
      <c r="A280">
        <v>125</v>
      </c>
      <c r="B280" t="s">
        <v>841</v>
      </c>
      <c r="C280" t="s">
        <v>841</v>
      </c>
      <c r="D280">
        <v>0</v>
      </c>
      <c r="E280">
        <v>1970</v>
      </c>
      <c r="F280">
        <v>1085</v>
      </c>
      <c r="G280">
        <v>125</v>
      </c>
      <c r="H280">
        <v>1</v>
      </c>
      <c r="I280">
        <v>1</v>
      </c>
      <c r="J280">
        <v>9</v>
      </c>
      <c r="K280">
        <v>3</v>
      </c>
      <c r="L280">
        <v>4</v>
      </c>
      <c r="M280">
        <v>40</v>
      </c>
      <c r="N280">
        <v>40</v>
      </c>
      <c r="O280">
        <v>40</v>
      </c>
      <c r="P280">
        <v>30</v>
      </c>
      <c r="Q280">
        <v>18</v>
      </c>
      <c r="R280">
        <v>31</v>
      </c>
      <c r="S280">
        <v>18</v>
      </c>
      <c r="T280">
        <v>0</v>
      </c>
      <c r="U280">
        <v>10</v>
      </c>
      <c r="V280">
        <v>14</v>
      </c>
      <c r="W280">
        <v>2</v>
      </c>
      <c r="X280">
        <v>5</v>
      </c>
      <c r="Y280">
        <v>0</v>
      </c>
      <c r="Z280">
        <v>40</v>
      </c>
      <c r="AA280">
        <v>65</v>
      </c>
      <c r="AB280">
        <v>59</v>
      </c>
      <c r="AC280">
        <v>69</v>
      </c>
      <c r="AD280">
        <v>59</v>
      </c>
      <c r="AE280">
        <v>59</v>
      </c>
      <c r="AF280">
        <v>49</v>
      </c>
      <c r="AG280">
        <v>62</v>
      </c>
      <c r="AH280">
        <v>0</v>
      </c>
      <c r="AI280">
        <v>39</v>
      </c>
      <c r="AJ280">
        <v>6</v>
      </c>
      <c r="AK280">
        <v>25</v>
      </c>
      <c r="AL280">
        <v>0</v>
      </c>
      <c r="AM280">
        <v>-1</v>
      </c>
      <c r="AN280">
        <v>2</v>
      </c>
      <c r="AO280">
        <v>2</v>
      </c>
      <c r="AP280">
        <v>2</v>
      </c>
      <c r="AQ280">
        <v>0</v>
      </c>
      <c r="AR280">
        <f t="shared" si="769"/>
        <v>6</v>
      </c>
      <c r="AS280">
        <f>IF(AND(IFERROR(VLOOKUP(AJ280,Equip!$A:$N,13,FALSE),0)&gt;=5,IFERROR(VLOOKUP(AJ280,Equip!$A:$N,13,FALSE),0)&lt;=9),INT(VLOOKUP(AJ280,Equip!$A:$N,6,FALSE)*SQRT(AN280)),0)</f>
        <v>0</v>
      </c>
      <c r="AT280">
        <f>IF(AND(IFERROR(VLOOKUP(AK280,Equip!$A:$N,13,FALSE),0)&gt;=5,IFERROR(VLOOKUP(AK280,Equip!$A:$N,13,FALSE),0)&lt;=9),INT(VLOOKUP(AK280,Equip!$A:$N,6,FALSE)*SQRT(AO280)),0)</f>
        <v>0</v>
      </c>
      <c r="AU280">
        <f>IF(AND(IFERROR(VLOOKUP(AL280,Equip!$A:$N,13,FALSE),0)&gt;=5,IFERROR(VLOOKUP(AL280,Equip!$A:$N,13,FALSE),0)&lt;=9),INT(VLOOKUP(AL280,Equip!$A:$N,6,FALSE)*SQRT(AP280)),0)</f>
        <v>0</v>
      </c>
      <c r="AV280">
        <f>IF(AND(IFERROR(VLOOKUP(AM280,Equip!$A:$N,13,FALSE),0)&gt;=5,IFERROR(VLOOKUP(AM280,Equip!$A:$N,13,FALSE),0)&lt;=9),INT(VLOOKUP(AM280,Equip!$A:$N,6,FALSE)*SQRT(AQ280)),0)</f>
        <v>0</v>
      </c>
      <c r="AW280">
        <f t="shared" si="770"/>
        <v>0</v>
      </c>
      <c r="AX280">
        <f t="shared" si="771"/>
        <v>387</v>
      </c>
    </row>
    <row r="281" spans="1:50">
      <c r="A281">
        <v>125</v>
      </c>
      <c r="B281" t="s">
        <v>841</v>
      </c>
      <c r="C281" t="s">
        <v>841</v>
      </c>
      <c r="D281">
        <v>1</v>
      </c>
      <c r="E281">
        <f t="shared" ref="E281:E283" si="838">E280</f>
        <v>1970</v>
      </c>
      <c r="F281">
        <f t="shared" ref="F281:F283" si="839">F280</f>
        <v>1085</v>
      </c>
      <c r="G281">
        <f t="shared" ref="G281:G283" si="840">G280</f>
        <v>125</v>
      </c>
      <c r="H281">
        <f t="shared" ref="H281:H283" si="841">H280</f>
        <v>1</v>
      </c>
      <c r="I281">
        <f t="shared" ref="I281:I283" si="842">I280</f>
        <v>1</v>
      </c>
      <c r="J281">
        <f t="shared" ref="J281:J283" si="843">J280</f>
        <v>9</v>
      </c>
      <c r="K281">
        <v>5</v>
      </c>
      <c r="L281">
        <v>4</v>
      </c>
      <c r="M281">
        <v>50</v>
      </c>
      <c r="N281">
        <v>50</v>
      </c>
      <c r="O281">
        <v>32</v>
      </c>
      <c r="P281">
        <v>42</v>
      </c>
      <c r="Q281">
        <v>33</v>
      </c>
      <c r="R281">
        <v>46</v>
      </c>
      <c r="S281">
        <v>32</v>
      </c>
      <c r="T281">
        <v>0</v>
      </c>
      <c r="U281">
        <f t="shared" ref="U281:U283" si="844">U280</f>
        <v>10</v>
      </c>
      <c r="V281">
        <v>35</v>
      </c>
      <c r="W281">
        <f t="shared" ref="W281:W283" si="845">W280</f>
        <v>2</v>
      </c>
      <c r="X281">
        <v>10</v>
      </c>
      <c r="Y281">
        <f t="shared" ref="Y281:Y283" si="846">Y280</f>
        <v>0</v>
      </c>
      <c r="Z281">
        <v>50</v>
      </c>
      <c r="AA281">
        <v>55</v>
      </c>
      <c r="AB281">
        <v>75</v>
      </c>
      <c r="AC281">
        <v>69</v>
      </c>
      <c r="AD281">
        <v>59</v>
      </c>
      <c r="AE281">
        <v>72</v>
      </c>
      <c r="AF281">
        <v>69</v>
      </c>
      <c r="AG281">
        <v>69</v>
      </c>
      <c r="AH281">
        <v>0</v>
      </c>
      <c r="AI281">
        <v>59</v>
      </c>
      <c r="AJ281">
        <v>6</v>
      </c>
      <c r="AK281">
        <v>28</v>
      </c>
      <c r="AL281">
        <v>26</v>
      </c>
      <c r="AM281">
        <v>0</v>
      </c>
      <c r="AN281">
        <v>5</v>
      </c>
      <c r="AO281">
        <v>6</v>
      </c>
      <c r="AP281">
        <v>5</v>
      </c>
      <c r="AQ281">
        <v>6</v>
      </c>
      <c r="AR281">
        <f t="shared" si="769"/>
        <v>22</v>
      </c>
      <c r="AS281">
        <f>IF(AND(IFERROR(VLOOKUP(AJ281,Equip!$A:$N,13,FALSE),0)&gt;=5,IFERROR(VLOOKUP(AJ281,Equip!$A:$N,13,FALSE),0)&lt;=9),INT(VLOOKUP(AJ281,Equip!$A:$N,6,FALSE)*SQRT(AN281)),0)</f>
        <v>0</v>
      </c>
      <c r="AT281">
        <f>IF(AND(IFERROR(VLOOKUP(AK281,Equip!$A:$N,13,FALSE),0)&gt;=5,IFERROR(VLOOKUP(AK281,Equip!$A:$N,13,FALSE),0)&lt;=9),INT(VLOOKUP(AK281,Equip!$A:$N,6,FALSE)*SQRT(AO281)),0)</f>
        <v>0</v>
      </c>
      <c r="AU281">
        <f>IF(AND(IFERROR(VLOOKUP(AL281,Equip!$A:$N,13,FALSE),0)&gt;=5,IFERROR(VLOOKUP(AL281,Equip!$A:$N,13,FALSE),0)&lt;=9),INT(VLOOKUP(AL281,Equip!$A:$N,6,FALSE)*SQRT(AP281)),0)</f>
        <v>0</v>
      </c>
      <c r="AV281">
        <f>IF(AND(IFERROR(VLOOKUP(AM281,Equip!$A:$N,13,FALSE),0)&gt;=5,IFERROR(VLOOKUP(AM281,Equip!$A:$N,13,FALSE),0)&lt;=9),INT(VLOOKUP(AM281,Equip!$A:$N,6,FALSE)*SQRT(AQ281)),0)</f>
        <v>0</v>
      </c>
      <c r="AW281">
        <f t="shared" si="770"/>
        <v>0</v>
      </c>
      <c r="AX281">
        <f t="shared" si="771"/>
        <v>453</v>
      </c>
    </row>
    <row r="282" spans="1:50">
      <c r="A282">
        <v>125</v>
      </c>
      <c r="B282" t="s">
        <v>841</v>
      </c>
      <c r="C282" t="s">
        <v>841</v>
      </c>
      <c r="D282">
        <v>2</v>
      </c>
      <c r="E282">
        <f t="shared" si="838"/>
        <v>1970</v>
      </c>
      <c r="F282">
        <f t="shared" si="839"/>
        <v>1085</v>
      </c>
      <c r="G282">
        <f t="shared" si="840"/>
        <v>125</v>
      </c>
      <c r="H282">
        <f t="shared" si="841"/>
        <v>1</v>
      </c>
      <c r="I282">
        <f t="shared" si="842"/>
        <v>1</v>
      </c>
      <c r="J282">
        <f t="shared" si="843"/>
        <v>9</v>
      </c>
      <c r="K282">
        <v>5</v>
      </c>
      <c r="L282">
        <v>4</v>
      </c>
      <c r="M282">
        <v>62</v>
      </c>
      <c r="N282">
        <v>62</v>
      </c>
      <c r="O282">
        <v>30</v>
      </c>
      <c r="P282">
        <v>42</v>
      </c>
      <c r="Q282">
        <v>40</v>
      </c>
      <c r="R282">
        <v>40</v>
      </c>
      <c r="S282">
        <v>30</v>
      </c>
      <c r="T282">
        <v>0</v>
      </c>
      <c r="U282">
        <f t="shared" si="844"/>
        <v>10</v>
      </c>
      <c r="V282">
        <v>26</v>
      </c>
      <c r="W282">
        <f t="shared" si="845"/>
        <v>2</v>
      </c>
      <c r="X282">
        <v>13</v>
      </c>
      <c r="Y282">
        <f t="shared" si="846"/>
        <v>0</v>
      </c>
      <c r="Z282">
        <v>55</v>
      </c>
      <c r="AA282">
        <v>60</v>
      </c>
      <c r="AB282">
        <v>76</v>
      </c>
      <c r="AC282">
        <v>87</v>
      </c>
      <c r="AD282">
        <v>84</v>
      </c>
      <c r="AE282">
        <v>75</v>
      </c>
      <c r="AF282">
        <v>73</v>
      </c>
      <c r="AG282">
        <v>81</v>
      </c>
      <c r="AH282">
        <v>0</v>
      </c>
      <c r="AI282">
        <v>81</v>
      </c>
      <c r="AJ282">
        <v>0</v>
      </c>
      <c r="AK282">
        <v>0</v>
      </c>
      <c r="AL282">
        <v>0</v>
      </c>
      <c r="AM282">
        <v>0</v>
      </c>
      <c r="AN282">
        <v>3</v>
      </c>
      <c r="AO282">
        <v>3</v>
      </c>
      <c r="AP282">
        <v>7</v>
      </c>
      <c r="AQ282">
        <v>11</v>
      </c>
      <c r="AR282">
        <f t="shared" si="769"/>
        <v>24</v>
      </c>
      <c r="AS282">
        <f>IF(AND(IFERROR(VLOOKUP(AJ282,Equip!$A:$N,13,FALSE),0)&gt;=5,IFERROR(VLOOKUP(AJ282,Equip!$A:$N,13,FALSE),0)&lt;=9),INT(VLOOKUP(AJ282,Equip!$A:$N,6,FALSE)*SQRT(AN282)),0)</f>
        <v>0</v>
      </c>
      <c r="AT282">
        <f>IF(AND(IFERROR(VLOOKUP(AK282,Equip!$A:$N,13,FALSE),0)&gt;=5,IFERROR(VLOOKUP(AK282,Equip!$A:$N,13,FALSE),0)&lt;=9),INT(VLOOKUP(AK282,Equip!$A:$N,6,FALSE)*SQRT(AO282)),0)</f>
        <v>0</v>
      </c>
      <c r="AU282">
        <f>IF(AND(IFERROR(VLOOKUP(AL282,Equip!$A:$N,13,FALSE),0)&gt;=5,IFERROR(VLOOKUP(AL282,Equip!$A:$N,13,FALSE),0)&lt;=9),INT(VLOOKUP(AL282,Equip!$A:$N,6,FALSE)*SQRT(AP282)),0)</f>
        <v>0</v>
      </c>
      <c r="AV282">
        <f>IF(AND(IFERROR(VLOOKUP(AM282,Equip!$A:$N,13,FALSE),0)&gt;=5,IFERROR(VLOOKUP(AM282,Equip!$A:$N,13,FALSE),0)&lt;=9),INT(VLOOKUP(AM282,Equip!$A:$N,6,FALSE)*SQRT(AQ282)),0)</f>
        <v>0</v>
      </c>
      <c r="AW282">
        <f t="shared" si="770"/>
        <v>0</v>
      </c>
      <c r="AX282">
        <f t="shared" si="771"/>
        <v>546</v>
      </c>
    </row>
    <row r="283" spans="1:50">
      <c r="A283">
        <v>125</v>
      </c>
      <c r="B283" t="s">
        <v>841</v>
      </c>
      <c r="C283" t="s">
        <v>841</v>
      </c>
      <c r="D283">
        <v>3</v>
      </c>
      <c r="E283">
        <f t="shared" si="838"/>
        <v>1970</v>
      </c>
      <c r="F283">
        <f t="shared" si="839"/>
        <v>1085</v>
      </c>
      <c r="G283">
        <f t="shared" si="840"/>
        <v>125</v>
      </c>
      <c r="H283">
        <f t="shared" si="841"/>
        <v>1</v>
      </c>
      <c r="I283">
        <f t="shared" si="842"/>
        <v>1</v>
      </c>
      <c r="J283">
        <f t="shared" si="843"/>
        <v>9</v>
      </c>
      <c r="K283">
        <v>9</v>
      </c>
      <c r="L283">
        <v>4</v>
      </c>
      <c r="M283">
        <v>62</v>
      </c>
      <c r="N283">
        <v>62</v>
      </c>
      <c r="O283">
        <v>0</v>
      </c>
      <c r="P283">
        <v>42</v>
      </c>
      <c r="Q283">
        <v>0</v>
      </c>
      <c r="R283">
        <v>41</v>
      </c>
      <c r="S283">
        <v>33</v>
      </c>
      <c r="T283">
        <v>0</v>
      </c>
      <c r="U283">
        <f t="shared" si="844"/>
        <v>10</v>
      </c>
      <c r="V283">
        <v>46</v>
      </c>
      <c r="W283">
        <f t="shared" si="845"/>
        <v>2</v>
      </c>
      <c r="X283">
        <v>12</v>
      </c>
      <c r="Y283">
        <f t="shared" si="846"/>
        <v>0</v>
      </c>
      <c r="Z283">
        <v>60</v>
      </c>
      <c r="AA283">
        <v>55</v>
      </c>
      <c r="AB283">
        <v>55</v>
      </c>
      <c r="AC283">
        <v>0</v>
      </c>
      <c r="AD283">
        <v>86</v>
      </c>
      <c r="AE283">
        <v>75</v>
      </c>
      <c r="AF283">
        <v>73</v>
      </c>
      <c r="AG283">
        <v>82</v>
      </c>
      <c r="AH283">
        <v>0</v>
      </c>
      <c r="AI283">
        <v>83</v>
      </c>
      <c r="AJ283">
        <v>0</v>
      </c>
      <c r="AK283">
        <v>0</v>
      </c>
      <c r="AL283">
        <v>0</v>
      </c>
      <c r="AM283">
        <v>0</v>
      </c>
      <c r="AN283">
        <v>15</v>
      </c>
      <c r="AO283">
        <v>12</v>
      </c>
      <c r="AP283">
        <v>12</v>
      </c>
      <c r="AQ283">
        <v>8</v>
      </c>
      <c r="AR283">
        <f t="shared" si="769"/>
        <v>47</v>
      </c>
      <c r="AS283">
        <f>IF(AND(IFERROR(VLOOKUP(AJ283,Equip!$A:$N,13,FALSE),0)&gt;=5,IFERROR(VLOOKUP(AJ283,Equip!$A:$N,13,FALSE),0)&lt;=9),INT(VLOOKUP(AJ283,Equip!$A:$N,6,FALSE)*SQRT(AN283)),0)</f>
        <v>0</v>
      </c>
      <c r="AT283">
        <f>IF(AND(IFERROR(VLOOKUP(AK283,Equip!$A:$N,13,FALSE),0)&gt;=5,IFERROR(VLOOKUP(AK283,Equip!$A:$N,13,FALSE),0)&lt;=9),INT(VLOOKUP(AK283,Equip!$A:$N,6,FALSE)*SQRT(AO283)),0)</f>
        <v>0</v>
      </c>
      <c r="AU283">
        <f>IF(AND(IFERROR(VLOOKUP(AL283,Equip!$A:$N,13,FALSE),0)&gt;=5,IFERROR(VLOOKUP(AL283,Equip!$A:$N,13,FALSE),0)&lt;=9),INT(VLOOKUP(AL283,Equip!$A:$N,6,FALSE)*SQRT(AP283)),0)</f>
        <v>0</v>
      </c>
      <c r="AV283">
        <f>IF(AND(IFERROR(VLOOKUP(AM283,Equip!$A:$N,13,FALSE),0)&gt;=5,IFERROR(VLOOKUP(AM283,Equip!$A:$N,13,FALSE),0)&lt;=9),INT(VLOOKUP(AM283,Equip!$A:$N,6,FALSE)*SQRT(AQ283)),0)</f>
        <v>0</v>
      </c>
      <c r="AW283">
        <f t="shared" si="770"/>
        <v>0</v>
      </c>
      <c r="AX283">
        <f t="shared" si="771"/>
        <v>443</v>
      </c>
    </row>
    <row r="284" spans="1:50">
      <c r="A284">
        <v>126</v>
      </c>
      <c r="B284" t="s">
        <v>842</v>
      </c>
      <c r="C284" t="s">
        <v>842</v>
      </c>
      <c r="D284">
        <v>0</v>
      </c>
      <c r="E284">
        <v>1085</v>
      </c>
      <c r="F284">
        <v>642</v>
      </c>
      <c r="G284">
        <v>126</v>
      </c>
      <c r="H284">
        <v>1</v>
      </c>
      <c r="I284">
        <v>1</v>
      </c>
      <c r="J284">
        <v>0</v>
      </c>
      <c r="K284">
        <v>14</v>
      </c>
      <c r="L284">
        <v>1</v>
      </c>
      <c r="M284">
        <v>10</v>
      </c>
      <c r="N284">
        <v>10</v>
      </c>
      <c r="O284">
        <v>2</v>
      </c>
      <c r="P284">
        <v>3</v>
      </c>
      <c r="Q284">
        <v>24</v>
      </c>
      <c r="R284">
        <v>15</v>
      </c>
      <c r="S284">
        <v>0</v>
      </c>
      <c r="T284">
        <v>0</v>
      </c>
      <c r="U284">
        <v>5</v>
      </c>
      <c r="V284">
        <v>9</v>
      </c>
      <c r="W284">
        <v>1</v>
      </c>
      <c r="X284">
        <v>10</v>
      </c>
      <c r="Y284">
        <v>0</v>
      </c>
      <c r="Z284">
        <v>10</v>
      </c>
      <c r="AA284">
        <v>20</v>
      </c>
      <c r="AB284">
        <v>7</v>
      </c>
      <c r="AC284">
        <v>59</v>
      </c>
      <c r="AD284">
        <v>0</v>
      </c>
      <c r="AE284">
        <v>17</v>
      </c>
      <c r="AF284">
        <v>49</v>
      </c>
      <c r="AG284">
        <v>39</v>
      </c>
      <c r="AH284">
        <v>0</v>
      </c>
      <c r="AI284">
        <v>29</v>
      </c>
      <c r="AJ284">
        <v>0</v>
      </c>
      <c r="AK284">
        <v>-1</v>
      </c>
      <c r="AL284">
        <v>-1</v>
      </c>
      <c r="AM284">
        <v>-1</v>
      </c>
      <c r="AN284">
        <v>0</v>
      </c>
      <c r="AO284">
        <v>0</v>
      </c>
      <c r="AP284">
        <v>0</v>
      </c>
      <c r="AQ284">
        <v>0</v>
      </c>
      <c r="AR284">
        <f t="shared" si="769"/>
        <v>0</v>
      </c>
      <c r="AS284">
        <f>IF(AND(IFERROR(VLOOKUP(AJ284,Equip!$A:$N,13,FALSE),0)&gt;=5,IFERROR(VLOOKUP(AJ284,Equip!$A:$N,13,FALSE),0)&lt;=9),INT(VLOOKUP(AJ284,Equip!$A:$N,6,FALSE)*SQRT(AN284)),0)</f>
        <v>0</v>
      </c>
      <c r="AT284">
        <f>IF(AND(IFERROR(VLOOKUP(AK284,Equip!$A:$N,13,FALSE),0)&gt;=5,IFERROR(VLOOKUP(AK284,Equip!$A:$N,13,FALSE),0)&lt;=9),INT(VLOOKUP(AK284,Equip!$A:$N,6,FALSE)*SQRT(AO284)),0)</f>
        <v>0</v>
      </c>
      <c r="AU284">
        <f>IF(AND(IFERROR(VLOOKUP(AL284,Equip!$A:$N,13,FALSE),0)&gt;=5,IFERROR(VLOOKUP(AL284,Equip!$A:$N,13,FALSE),0)&lt;=9),INT(VLOOKUP(AL284,Equip!$A:$N,6,FALSE)*SQRT(AP284)),0)</f>
        <v>0</v>
      </c>
      <c r="AV284">
        <f>IF(AND(IFERROR(VLOOKUP(AM284,Equip!$A:$N,13,FALSE),0)&gt;=5,IFERROR(VLOOKUP(AM284,Equip!$A:$N,13,FALSE),0)&lt;=9),INT(VLOOKUP(AM284,Equip!$A:$N,6,FALSE)*SQRT(AQ284)),0)</f>
        <v>0</v>
      </c>
      <c r="AW284">
        <f t="shared" si="770"/>
        <v>0</v>
      </c>
      <c r="AX284">
        <f t="shared" si="771"/>
        <v>161</v>
      </c>
    </row>
    <row r="285" spans="1:50">
      <c r="A285">
        <v>126</v>
      </c>
      <c r="B285" t="s">
        <v>842</v>
      </c>
      <c r="C285" t="s">
        <v>842</v>
      </c>
      <c r="D285">
        <v>1</v>
      </c>
      <c r="E285">
        <f>E284</f>
        <v>1085</v>
      </c>
      <c r="F285">
        <f t="shared" ref="F285" si="847">F284</f>
        <v>642</v>
      </c>
      <c r="G285">
        <f t="shared" ref="G285" si="848">G284</f>
        <v>126</v>
      </c>
      <c r="H285">
        <f t="shared" ref="H285" si="849">H284</f>
        <v>1</v>
      </c>
      <c r="I285">
        <f t="shared" ref="I285" si="850">I284</f>
        <v>1</v>
      </c>
      <c r="J285">
        <f t="shared" ref="J285" si="851">J284</f>
        <v>0</v>
      </c>
      <c r="K285">
        <v>14</v>
      </c>
      <c r="L285">
        <v>1</v>
      </c>
      <c r="M285">
        <v>15</v>
      </c>
      <c r="N285">
        <v>15</v>
      </c>
      <c r="O285">
        <v>5</v>
      </c>
      <c r="P285">
        <v>8</v>
      </c>
      <c r="Q285">
        <v>39</v>
      </c>
      <c r="R285">
        <v>32</v>
      </c>
      <c r="S285">
        <v>0</v>
      </c>
      <c r="T285">
        <v>0</v>
      </c>
      <c r="U285">
        <f t="shared" ref="U285" si="852">U284</f>
        <v>5</v>
      </c>
      <c r="V285">
        <v>19</v>
      </c>
      <c r="W285">
        <f t="shared" ref="W285" si="853">W284</f>
        <v>1</v>
      </c>
      <c r="X285">
        <v>10</v>
      </c>
      <c r="Y285">
        <f t="shared" ref="Y285" si="854">Y284</f>
        <v>0</v>
      </c>
      <c r="Z285">
        <v>10</v>
      </c>
      <c r="AA285">
        <v>20</v>
      </c>
      <c r="AB285">
        <v>11</v>
      </c>
      <c r="AC285">
        <v>69</v>
      </c>
      <c r="AD285">
        <v>0</v>
      </c>
      <c r="AE285">
        <v>18</v>
      </c>
      <c r="AF285">
        <v>49</v>
      </c>
      <c r="AG285">
        <v>49</v>
      </c>
      <c r="AH285">
        <v>0</v>
      </c>
      <c r="AI285">
        <v>29</v>
      </c>
      <c r="AJ285">
        <v>0</v>
      </c>
      <c r="AK285">
        <v>0</v>
      </c>
      <c r="AL285">
        <v>-1</v>
      </c>
      <c r="AM285">
        <v>-1</v>
      </c>
      <c r="AN285">
        <v>0</v>
      </c>
      <c r="AO285">
        <v>0</v>
      </c>
      <c r="AP285">
        <v>0</v>
      </c>
      <c r="AQ285">
        <v>0</v>
      </c>
      <c r="AR285">
        <f t="shared" si="769"/>
        <v>0</v>
      </c>
      <c r="AS285">
        <f>IF(AND(IFERROR(VLOOKUP(AJ285,Equip!$A:$N,13,FALSE),0)&gt;=5,IFERROR(VLOOKUP(AJ285,Equip!$A:$N,13,FALSE),0)&lt;=9),INT(VLOOKUP(AJ285,Equip!$A:$N,6,FALSE)*SQRT(AN285)),0)</f>
        <v>0</v>
      </c>
      <c r="AT285">
        <f>IF(AND(IFERROR(VLOOKUP(AK285,Equip!$A:$N,13,FALSE),0)&gt;=5,IFERROR(VLOOKUP(AK285,Equip!$A:$N,13,FALSE),0)&lt;=9),INT(VLOOKUP(AK285,Equip!$A:$N,6,FALSE)*SQRT(AO285)),0)</f>
        <v>0</v>
      </c>
      <c r="AU285">
        <f>IF(AND(IFERROR(VLOOKUP(AL285,Equip!$A:$N,13,FALSE),0)&gt;=5,IFERROR(VLOOKUP(AL285,Equip!$A:$N,13,FALSE),0)&lt;=9),INT(VLOOKUP(AL285,Equip!$A:$N,6,FALSE)*SQRT(AP285)),0)</f>
        <v>0</v>
      </c>
      <c r="AV285">
        <f>IF(AND(IFERROR(VLOOKUP(AM285,Equip!$A:$N,13,FALSE),0)&gt;=5,IFERROR(VLOOKUP(AM285,Equip!$A:$N,13,FALSE),0)&lt;=9),INT(VLOOKUP(AM285,Equip!$A:$N,6,FALSE)*SQRT(AQ285)),0)</f>
        <v>0</v>
      </c>
      <c r="AW285">
        <f t="shared" si="770"/>
        <v>0</v>
      </c>
      <c r="AX285">
        <f t="shared" si="771"/>
        <v>191</v>
      </c>
    </row>
    <row r="286" spans="1:50">
      <c r="A286">
        <v>127</v>
      </c>
      <c r="B286" t="s">
        <v>843</v>
      </c>
      <c r="C286" t="s">
        <v>843</v>
      </c>
      <c r="D286">
        <v>0</v>
      </c>
      <c r="E286">
        <v>1247</v>
      </c>
      <c r="F286">
        <v>723</v>
      </c>
      <c r="G286">
        <v>127</v>
      </c>
      <c r="H286">
        <v>1</v>
      </c>
      <c r="I286">
        <v>1</v>
      </c>
      <c r="J286">
        <v>6</v>
      </c>
      <c r="K286">
        <v>14</v>
      </c>
      <c r="L286">
        <v>1</v>
      </c>
      <c r="M286">
        <v>14</v>
      </c>
      <c r="N286">
        <v>14</v>
      </c>
      <c r="O286">
        <v>2</v>
      </c>
      <c r="P286">
        <v>4</v>
      </c>
      <c r="Q286">
        <v>30</v>
      </c>
      <c r="R286">
        <v>13</v>
      </c>
      <c r="S286">
        <v>0</v>
      </c>
      <c r="T286">
        <v>0</v>
      </c>
      <c r="U286">
        <v>5</v>
      </c>
      <c r="V286">
        <v>10</v>
      </c>
      <c r="W286">
        <v>1</v>
      </c>
      <c r="X286">
        <v>40</v>
      </c>
      <c r="Y286">
        <v>0</v>
      </c>
      <c r="Z286">
        <v>10</v>
      </c>
      <c r="AA286">
        <v>20</v>
      </c>
      <c r="AB286">
        <v>9</v>
      </c>
      <c r="AC286">
        <v>69</v>
      </c>
      <c r="AD286">
        <v>0</v>
      </c>
      <c r="AE286">
        <v>19</v>
      </c>
      <c r="AF286">
        <v>40</v>
      </c>
      <c r="AG286">
        <v>36</v>
      </c>
      <c r="AH286">
        <v>0</v>
      </c>
      <c r="AI286">
        <v>39</v>
      </c>
      <c r="AJ286">
        <v>0</v>
      </c>
      <c r="AK286">
        <v>-1</v>
      </c>
      <c r="AL286">
        <v>-1</v>
      </c>
      <c r="AM286">
        <v>-1</v>
      </c>
      <c r="AN286">
        <v>0</v>
      </c>
      <c r="AO286">
        <v>0</v>
      </c>
      <c r="AP286">
        <v>0</v>
      </c>
      <c r="AQ286">
        <v>0</v>
      </c>
      <c r="AR286">
        <f t="shared" si="769"/>
        <v>0</v>
      </c>
      <c r="AS286">
        <f>IF(AND(IFERROR(VLOOKUP(AJ286,Equip!$A:$N,13,FALSE),0)&gt;=5,IFERROR(VLOOKUP(AJ286,Equip!$A:$N,13,FALSE),0)&lt;=9),INT(VLOOKUP(AJ286,Equip!$A:$N,6,FALSE)*SQRT(AN286)),0)</f>
        <v>0</v>
      </c>
      <c r="AT286">
        <f>IF(AND(IFERROR(VLOOKUP(AK286,Equip!$A:$N,13,FALSE),0)&gt;=5,IFERROR(VLOOKUP(AK286,Equip!$A:$N,13,FALSE),0)&lt;=9),INT(VLOOKUP(AK286,Equip!$A:$N,6,FALSE)*SQRT(AO286)),0)</f>
        <v>0</v>
      </c>
      <c r="AU286">
        <f>IF(AND(IFERROR(VLOOKUP(AL286,Equip!$A:$N,13,FALSE),0)&gt;=5,IFERROR(VLOOKUP(AL286,Equip!$A:$N,13,FALSE),0)&lt;=9),INT(VLOOKUP(AL286,Equip!$A:$N,6,FALSE)*SQRT(AP286)),0)</f>
        <v>0</v>
      </c>
      <c r="AV286">
        <f>IF(AND(IFERROR(VLOOKUP(AM286,Equip!$A:$N,13,FALSE),0)&gt;=5,IFERROR(VLOOKUP(AM286,Equip!$A:$N,13,FALSE),0)&lt;=9),INT(VLOOKUP(AM286,Equip!$A:$N,6,FALSE)*SQRT(AQ286)),0)</f>
        <v>0</v>
      </c>
      <c r="AW286">
        <f t="shared" si="770"/>
        <v>0</v>
      </c>
      <c r="AX286">
        <f t="shared" si="771"/>
        <v>186</v>
      </c>
    </row>
    <row r="287" spans="1:50">
      <c r="A287">
        <v>127</v>
      </c>
      <c r="B287" t="s">
        <v>843</v>
      </c>
      <c r="C287" t="s">
        <v>843</v>
      </c>
      <c r="D287">
        <v>1</v>
      </c>
      <c r="E287">
        <f>E286</f>
        <v>1247</v>
      </c>
      <c r="F287">
        <f t="shared" ref="F287" si="855">F286</f>
        <v>723</v>
      </c>
      <c r="G287">
        <f t="shared" ref="G287" si="856">G286</f>
        <v>127</v>
      </c>
      <c r="H287">
        <f t="shared" ref="H287" si="857">H286</f>
        <v>1</v>
      </c>
      <c r="I287">
        <f t="shared" ref="I287" si="858">I286</f>
        <v>1</v>
      </c>
      <c r="J287">
        <f t="shared" ref="J287" si="859">J286</f>
        <v>6</v>
      </c>
      <c r="K287">
        <v>13</v>
      </c>
      <c r="L287">
        <v>1</v>
      </c>
      <c r="M287">
        <v>18</v>
      </c>
      <c r="N287">
        <v>18</v>
      </c>
      <c r="O287">
        <v>7</v>
      </c>
      <c r="P287">
        <v>11</v>
      </c>
      <c r="Q287">
        <v>47</v>
      </c>
      <c r="R287">
        <v>32</v>
      </c>
      <c r="S287">
        <v>0</v>
      </c>
      <c r="T287">
        <v>0</v>
      </c>
      <c r="U287">
        <f t="shared" ref="U287" si="860">U286</f>
        <v>5</v>
      </c>
      <c r="V287">
        <v>27</v>
      </c>
      <c r="W287">
        <f t="shared" ref="W287" si="861">W286</f>
        <v>1</v>
      </c>
      <c r="X287">
        <v>50</v>
      </c>
      <c r="Y287">
        <f t="shared" ref="Y287" si="862">Y286</f>
        <v>0</v>
      </c>
      <c r="Z287">
        <v>10</v>
      </c>
      <c r="AA287">
        <v>25</v>
      </c>
      <c r="AB287">
        <v>12</v>
      </c>
      <c r="AC287">
        <v>84</v>
      </c>
      <c r="AD287">
        <v>0</v>
      </c>
      <c r="AE287">
        <v>19</v>
      </c>
      <c r="AF287">
        <v>79</v>
      </c>
      <c r="AG287">
        <v>49</v>
      </c>
      <c r="AH287">
        <v>0</v>
      </c>
      <c r="AI287">
        <v>39</v>
      </c>
      <c r="AJ287">
        <v>0</v>
      </c>
      <c r="AK287">
        <v>0</v>
      </c>
      <c r="AL287">
        <v>-1</v>
      </c>
      <c r="AM287">
        <v>-1</v>
      </c>
      <c r="AN287">
        <v>1</v>
      </c>
      <c r="AO287">
        <v>1</v>
      </c>
      <c r="AP287">
        <v>0</v>
      </c>
      <c r="AQ287">
        <v>0</v>
      </c>
      <c r="AR287">
        <f t="shared" si="769"/>
        <v>2</v>
      </c>
      <c r="AS287">
        <f>IF(AND(IFERROR(VLOOKUP(AJ287,Equip!$A:$N,13,FALSE),0)&gt;=5,IFERROR(VLOOKUP(AJ287,Equip!$A:$N,13,FALSE),0)&lt;=9),INT(VLOOKUP(AJ287,Equip!$A:$N,6,FALSE)*SQRT(AN287)),0)</f>
        <v>0</v>
      </c>
      <c r="AT287">
        <f>IF(AND(IFERROR(VLOOKUP(AK287,Equip!$A:$N,13,FALSE),0)&gt;=5,IFERROR(VLOOKUP(AK287,Equip!$A:$N,13,FALSE),0)&lt;=9),INT(VLOOKUP(AK287,Equip!$A:$N,6,FALSE)*SQRT(AO287)),0)</f>
        <v>0</v>
      </c>
      <c r="AU287">
        <f>IF(AND(IFERROR(VLOOKUP(AL287,Equip!$A:$N,13,FALSE),0)&gt;=5,IFERROR(VLOOKUP(AL287,Equip!$A:$N,13,FALSE),0)&lt;=9),INT(VLOOKUP(AL287,Equip!$A:$N,6,FALSE)*SQRT(AP287)),0)</f>
        <v>0</v>
      </c>
      <c r="AV287">
        <f>IF(AND(IFERROR(VLOOKUP(AM287,Equip!$A:$N,13,FALSE),0)&gt;=5,IFERROR(VLOOKUP(AM287,Equip!$A:$N,13,FALSE),0)&lt;=9),INT(VLOOKUP(AM287,Equip!$A:$N,6,FALSE)*SQRT(AQ287)),0)</f>
        <v>0</v>
      </c>
      <c r="AW287">
        <f t="shared" si="770"/>
        <v>0</v>
      </c>
      <c r="AX287">
        <f t="shared" si="771"/>
        <v>221</v>
      </c>
    </row>
    <row r="288" spans="1:50">
      <c r="A288">
        <v>128</v>
      </c>
      <c r="B288" t="s">
        <v>844</v>
      </c>
      <c r="C288" t="s">
        <v>844</v>
      </c>
      <c r="D288">
        <v>0</v>
      </c>
      <c r="E288">
        <v>1284</v>
      </c>
      <c r="F288">
        <v>742</v>
      </c>
      <c r="G288">
        <v>128</v>
      </c>
      <c r="H288">
        <v>0</v>
      </c>
      <c r="I288">
        <v>1</v>
      </c>
      <c r="J288">
        <v>0</v>
      </c>
      <c r="K288">
        <v>14</v>
      </c>
      <c r="L288">
        <v>1</v>
      </c>
      <c r="M288">
        <v>15</v>
      </c>
      <c r="N288">
        <v>15</v>
      </c>
      <c r="O288">
        <v>2</v>
      </c>
      <c r="P288">
        <v>5</v>
      </c>
      <c r="Q288">
        <v>33</v>
      </c>
      <c r="R288">
        <v>14</v>
      </c>
      <c r="S288">
        <v>0</v>
      </c>
      <c r="T288">
        <v>0</v>
      </c>
      <c r="U288">
        <v>5</v>
      </c>
      <c r="V288">
        <v>12</v>
      </c>
      <c r="W288">
        <v>1</v>
      </c>
      <c r="X288">
        <v>20</v>
      </c>
      <c r="Y288">
        <v>0</v>
      </c>
      <c r="Z288">
        <v>10</v>
      </c>
      <c r="AA288">
        <v>20</v>
      </c>
      <c r="AB288">
        <v>9</v>
      </c>
      <c r="AC288">
        <v>69</v>
      </c>
      <c r="AD288">
        <v>0</v>
      </c>
      <c r="AE288">
        <v>19</v>
      </c>
      <c r="AF288">
        <v>20</v>
      </c>
      <c r="AG288">
        <v>37</v>
      </c>
      <c r="AH288">
        <v>0</v>
      </c>
      <c r="AI288">
        <v>39</v>
      </c>
      <c r="AJ288">
        <v>0</v>
      </c>
      <c r="AK288">
        <v>-1</v>
      </c>
      <c r="AL288">
        <v>-1</v>
      </c>
      <c r="AM288">
        <v>-1</v>
      </c>
      <c r="AN288">
        <v>0</v>
      </c>
      <c r="AO288">
        <v>0</v>
      </c>
      <c r="AP288">
        <v>0</v>
      </c>
      <c r="AQ288">
        <v>0</v>
      </c>
      <c r="AR288">
        <f t="shared" si="769"/>
        <v>0</v>
      </c>
      <c r="AS288">
        <f>IF(AND(IFERROR(VLOOKUP(AJ288,Equip!$A:$N,13,FALSE),0)&gt;=5,IFERROR(VLOOKUP(AJ288,Equip!$A:$N,13,FALSE),0)&lt;=9),INT(VLOOKUP(AJ288,Equip!$A:$N,6,FALSE)*SQRT(AN288)),0)</f>
        <v>0</v>
      </c>
      <c r="AT288">
        <f>IF(AND(IFERROR(VLOOKUP(AK288,Equip!$A:$N,13,FALSE),0)&gt;=5,IFERROR(VLOOKUP(AK288,Equip!$A:$N,13,FALSE),0)&lt;=9),INT(VLOOKUP(AK288,Equip!$A:$N,6,FALSE)*SQRT(AO288)),0)</f>
        <v>0</v>
      </c>
      <c r="AU288">
        <f>IF(AND(IFERROR(VLOOKUP(AL288,Equip!$A:$N,13,FALSE),0)&gt;=5,IFERROR(VLOOKUP(AL288,Equip!$A:$N,13,FALSE),0)&lt;=9),INT(VLOOKUP(AL288,Equip!$A:$N,6,FALSE)*SQRT(AP288)),0)</f>
        <v>0</v>
      </c>
      <c r="AV288">
        <f>IF(AND(IFERROR(VLOOKUP(AM288,Equip!$A:$N,13,FALSE),0)&gt;=5,IFERROR(VLOOKUP(AM288,Equip!$A:$N,13,FALSE),0)&lt;=9),INT(VLOOKUP(AM288,Equip!$A:$N,6,FALSE)*SQRT(AQ288)),0)</f>
        <v>0</v>
      </c>
      <c r="AW288">
        <f t="shared" si="770"/>
        <v>0</v>
      </c>
      <c r="AX288">
        <f t="shared" si="771"/>
        <v>188</v>
      </c>
    </row>
    <row r="289" spans="1:50">
      <c r="A289">
        <v>128</v>
      </c>
      <c r="B289" t="s">
        <v>844</v>
      </c>
      <c r="C289" t="s">
        <v>844</v>
      </c>
      <c r="D289">
        <v>1</v>
      </c>
      <c r="E289">
        <f>E288</f>
        <v>1284</v>
      </c>
      <c r="F289">
        <f t="shared" ref="F289" si="863">F288</f>
        <v>742</v>
      </c>
      <c r="G289">
        <f t="shared" ref="G289" si="864">G288</f>
        <v>128</v>
      </c>
      <c r="H289">
        <f t="shared" ref="H289" si="865">H288</f>
        <v>0</v>
      </c>
      <c r="I289">
        <f t="shared" ref="I289" si="866">I288</f>
        <v>1</v>
      </c>
      <c r="J289">
        <f t="shared" ref="J289" si="867">J288</f>
        <v>0</v>
      </c>
      <c r="K289">
        <v>13</v>
      </c>
      <c r="L289">
        <v>1</v>
      </c>
      <c r="M289">
        <v>19</v>
      </c>
      <c r="N289">
        <v>19</v>
      </c>
      <c r="O289">
        <v>9</v>
      </c>
      <c r="P289">
        <v>8</v>
      </c>
      <c r="Q289">
        <v>46</v>
      </c>
      <c r="R289">
        <v>32</v>
      </c>
      <c r="S289">
        <v>0</v>
      </c>
      <c r="T289">
        <v>0</v>
      </c>
      <c r="U289">
        <f t="shared" ref="U289" si="868">U288</f>
        <v>5</v>
      </c>
      <c r="V289">
        <v>27</v>
      </c>
      <c r="W289">
        <f t="shared" ref="W289" si="869">W288</f>
        <v>1</v>
      </c>
      <c r="X289">
        <v>25</v>
      </c>
      <c r="Y289">
        <f t="shared" ref="Y289" si="870">Y288</f>
        <v>0</v>
      </c>
      <c r="Z289">
        <v>10</v>
      </c>
      <c r="AA289">
        <v>25</v>
      </c>
      <c r="AB289">
        <v>14</v>
      </c>
      <c r="AC289">
        <v>84</v>
      </c>
      <c r="AD289">
        <v>0</v>
      </c>
      <c r="AE289">
        <v>19</v>
      </c>
      <c r="AF289">
        <v>59</v>
      </c>
      <c r="AG289">
        <v>49</v>
      </c>
      <c r="AH289">
        <v>0</v>
      </c>
      <c r="AI289">
        <v>39</v>
      </c>
      <c r="AJ289">
        <v>0</v>
      </c>
      <c r="AK289">
        <v>0</v>
      </c>
      <c r="AL289">
        <v>-1</v>
      </c>
      <c r="AM289">
        <v>-1</v>
      </c>
      <c r="AN289">
        <v>1</v>
      </c>
      <c r="AO289">
        <v>1</v>
      </c>
      <c r="AP289">
        <v>0</v>
      </c>
      <c r="AQ289">
        <v>0</v>
      </c>
      <c r="AR289">
        <f t="shared" si="769"/>
        <v>2</v>
      </c>
      <c r="AS289">
        <f>IF(AND(IFERROR(VLOOKUP(AJ289,Equip!$A:$N,13,FALSE),0)&gt;=5,IFERROR(VLOOKUP(AJ289,Equip!$A:$N,13,FALSE),0)&lt;=9),INT(VLOOKUP(AJ289,Equip!$A:$N,6,FALSE)*SQRT(AN289)),0)</f>
        <v>0</v>
      </c>
      <c r="AT289">
        <f>IF(AND(IFERROR(VLOOKUP(AK289,Equip!$A:$N,13,FALSE),0)&gt;=5,IFERROR(VLOOKUP(AK289,Equip!$A:$N,13,FALSE),0)&lt;=9),INT(VLOOKUP(AK289,Equip!$A:$N,6,FALSE)*SQRT(AO289)),0)</f>
        <v>0</v>
      </c>
      <c r="AU289">
        <f>IF(AND(IFERROR(VLOOKUP(AL289,Equip!$A:$N,13,FALSE),0)&gt;=5,IFERROR(VLOOKUP(AL289,Equip!$A:$N,13,FALSE),0)&lt;=9),INT(VLOOKUP(AL289,Equip!$A:$N,6,FALSE)*SQRT(AP289)),0)</f>
        <v>0</v>
      </c>
      <c r="AV289">
        <f>IF(AND(IFERROR(VLOOKUP(AM289,Equip!$A:$N,13,FALSE),0)&gt;=5,IFERROR(VLOOKUP(AM289,Equip!$A:$N,13,FALSE),0)&lt;=9),INT(VLOOKUP(AM289,Equip!$A:$N,6,FALSE)*SQRT(AQ289)),0)</f>
        <v>0</v>
      </c>
      <c r="AW289">
        <f t="shared" si="770"/>
        <v>0</v>
      </c>
      <c r="AX289">
        <f t="shared" si="771"/>
        <v>224</v>
      </c>
    </row>
    <row r="290" spans="1:50">
      <c r="A290">
        <v>131</v>
      </c>
      <c r="B290" t="s">
        <v>845</v>
      </c>
      <c r="C290" t="s">
        <v>845</v>
      </c>
      <c r="D290">
        <v>0</v>
      </c>
      <c r="E290">
        <v>2900</v>
      </c>
      <c r="F290">
        <v>1550</v>
      </c>
      <c r="G290">
        <v>131</v>
      </c>
      <c r="H290">
        <v>2</v>
      </c>
      <c r="I290">
        <v>1</v>
      </c>
      <c r="J290">
        <v>6</v>
      </c>
      <c r="K290">
        <v>8</v>
      </c>
      <c r="L290">
        <v>0</v>
      </c>
      <c r="M290">
        <v>93</v>
      </c>
      <c r="N290">
        <v>93</v>
      </c>
      <c r="O290">
        <v>96</v>
      </c>
      <c r="P290">
        <v>88</v>
      </c>
      <c r="Q290">
        <v>0</v>
      </c>
      <c r="R290">
        <v>27</v>
      </c>
      <c r="S290">
        <v>50</v>
      </c>
      <c r="T290">
        <v>0</v>
      </c>
      <c r="U290">
        <v>8</v>
      </c>
      <c r="V290">
        <v>15</v>
      </c>
      <c r="W290">
        <v>4</v>
      </c>
      <c r="X290">
        <v>12</v>
      </c>
      <c r="Y290">
        <v>0</v>
      </c>
      <c r="Z290">
        <v>250</v>
      </c>
      <c r="AA290">
        <v>300</v>
      </c>
      <c r="AB290">
        <v>129</v>
      </c>
      <c r="AC290">
        <v>0</v>
      </c>
      <c r="AD290">
        <v>94</v>
      </c>
      <c r="AE290">
        <v>108</v>
      </c>
      <c r="AF290">
        <v>79</v>
      </c>
      <c r="AG290">
        <v>59</v>
      </c>
      <c r="AH290">
        <v>0</v>
      </c>
      <c r="AI290">
        <v>39</v>
      </c>
      <c r="AJ290">
        <v>9</v>
      </c>
      <c r="AK290">
        <v>12</v>
      </c>
      <c r="AL290">
        <v>25</v>
      </c>
      <c r="AM290">
        <v>0</v>
      </c>
      <c r="AN290">
        <v>7</v>
      </c>
      <c r="AO290">
        <v>7</v>
      </c>
      <c r="AP290">
        <v>7</v>
      </c>
      <c r="AQ290">
        <v>7</v>
      </c>
      <c r="AR290">
        <f t="shared" si="769"/>
        <v>28</v>
      </c>
      <c r="AS290">
        <f>IF(AND(IFERROR(VLOOKUP(AJ290,Equip!$A:$N,13,FALSE),0)&gt;=5,IFERROR(VLOOKUP(AJ290,Equip!$A:$N,13,FALSE),0)&lt;=9),INT(VLOOKUP(AJ290,Equip!$A:$N,6,FALSE)*SQRT(AN290)),0)</f>
        <v>0</v>
      </c>
      <c r="AT290">
        <f>IF(AND(IFERROR(VLOOKUP(AK290,Equip!$A:$N,13,FALSE),0)&gt;=5,IFERROR(VLOOKUP(AK290,Equip!$A:$N,13,FALSE),0)&lt;=9),INT(VLOOKUP(AK290,Equip!$A:$N,6,FALSE)*SQRT(AO290)),0)</f>
        <v>0</v>
      </c>
      <c r="AU290">
        <f>IF(AND(IFERROR(VLOOKUP(AL290,Equip!$A:$N,13,FALSE),0)&gt;=5,IFERROR(VLOOKUP(AL290,Equip!$A:$N,13,FALSE),0)&lt;=9),INT(VLOOKUP(AL290,Equip!$A:$N,6,FALSE)*SQRT(AP290)),0)</f>
        <v>0</v>
      </c>
      <c r="AV290">
        <f>IF(AND(IFERROR(VLOOKUP(AM290,Equip!$A:$N,13,FALSE),0)&gt;=5,IFERROR(VLOOKUP(AM290,Equip!$A:$N,13,FALSE),0)&lt;=9),INT(VLOOKUP(AM290,Equip!$A:$N,6,FALSE)*SQRT(AQ290)),0)</f>
        <v>0</v>
      </c>
      <c r="AW290">
        <f t="shared" si="770"/>
        <v>0</v>
      </c>
      <c r="AX290">
        <f t="shared" si="771"/>
        <v>522</v>
      </c>
    </row>
    <row r="291" spans="1:50">
      <c r="A291">
        <v>131</v>
      </c>
      <c r="B291" t="s">
        <v>845</v>
      </c>
      <c r="C291" t="s">
        <v>845</v>
      </c>
      <c r="D291">
        <v>1</v>
      </c>
      <c r="E291">
        <f>E290</f>
        <v>2900</v>
      </c>
      <c r="F291">
        <f t="shared" ref="F291" si="871">F290</f>
        <v>1550</v>
      </c>
      <c r="G291">
        <f t="shared" ref="G291" si="872">G290</f>
        <v>131</v>
      </c>
      <c r="H291">
        <f t="shared" ref="H291" si="873">H290</f>
        <v>2</v>
      </c>
      <c r="I291">
        <f t="shared" ref="I291" si="874">I290</f>
        <v>1</v>
      </c>
      <c r="J291">
        <f t="shared" ref="J291" si="875">J290</f>
        <v>6</v>
      </c>
      <c r="K291">
        <v>8</v>
      </c>
      <c r="L291">
        <v>0</v>
      </c>
      <c r="M291">
        <v>96</v>
      </c>
      <c r="N291">
        <v>96</v>
      </c>
      <c r="O291">
        <v>104</v>
      </c>
      <c r="P291">
        <v>99</v>
      </c>
      <c r="Q291">
        <v>0</v>
      </c>
      <c r="R291">
        <v>49</v>
      </c>
      <c r="S291">
        <v>77</v>
      </c>
      <c r="T291">
        <v>0</v>
      </c>
      <c r="U291">
        <f t="shared" ref="U291" si="876">U290</f>
        <v>8</v>
      </c>
      <c r="V291">
        <v>30</v>
      </c>
      <c r="W291">
        <f t="shared" ref="W291" si="877">W290</f>
        <v>4</v>
      </c>
      <c r="X291">
        <v>13</v>
      </c>
      <c r="Y291">
        <f t="shared" ref="Y291" si="878">Y290</f>
        <v>0</v>
      </c>
      <c r="Z291">
        <v>250</v>
      </c>
      <c r="AA291">
        <v>325</v>
      </c>
      <c r="AB291">
        <v>139</v>
      </c>
      <c r="AC291">
        <v>0</v>
      </c>
      <c r="AD291">
        <v>104</v>
      </c>
      <c r="AE291">
        <v>118</v>
      </c>
      <c r="AF291">
        <v>79</v>
      </c>
      <c r="AG291">
        <v>64</v>
      </c>
      <c r="AH291">
        <v>0</v>
      </c>
      <c r="AI291">
        <v>39</v>
      </c>
      <c r="AJ291">
        <v>9</v>
      </c>
      <c r="AK291">
        <v>12</v>
      </c>
      <c r="AL291">
        <v>28</v>
      </c>
      <c r="AM291">
        <v>0</v>
      </c>
      <c r="AN291">
        <v>7</v>
      </c>
      <c r="AO291">
        <v>7</v>
      </c>
      <c r="AP291">
        <v>7</v>
      </c>
      <c r="AQ291">
        <v>7</v>
      </c>
      <c r="AR291">
        <f t="shared" si="769"/>
        <v>28</v>
      </c>
      <c r="AS291">
        <f>IF(AND(IFERROR(VLOOKUP(AJ291,Equip!$A:$N,13,FALSE),0)&gt;=5,IFERROR(VLOOKUP(AJ291,Equip!$A:$N,13,FALSE),0)&lt;=9),INT(VLOOKUP(AJ291,Equip!$A:$N,6,FALSE)*SQRT(AN291)),0)</f>
        <v>0</v>
      </c>
      <c r="AT291">
        <f>IF(AND(IFERROR(VLOOKUP(AK291,Equip!$A:$N,13,FALSE),0)&gt;=5,IFERROR(VLOOKUP(AK291,Equip!$A:$N,13,FALSE),0)&lt;=9),INT(VLOOKUP(AK291,Equip!$A:$N,6,FALSE)*SQRT(AO291)),0)</f>
        <v>0</v>
      </c>
      <c r="AU291">
        <f>IF(AND(IFERROR(VLOOKUP(AL291,Equip!$A:$N,13,FALSE),0)&gt;=5,IFERROR(VLOOKUP(AL291,Equip!$A:$N,13,FALSE),0)&lt;=9),INT(VLOOKUP(AL291,Equip!$A:$N,6,FALSE)*SQRT(AP291)),0)</f>
        <v>0</v>
      </c>
      <c r="AV291">
        <f>IF(AND(IFERROR(VLOOKUP(AM291,Equip!$A:$N,13,FALSE),0)&gt;=5,IFERROR(VLOOKUP(AM291,Equip!$A:$N,13,FALSE),0)&lt;=9),INT(VLOOKUP(AM291,Equip!$A:$N,6,FALSE)*SQRT(AQ291)),0)</f>
        <v>0</v>
      </c>
      <c r="AW291">
        <f t="shared" si="770"/>
        <v>0</v>
      </c>
      <c r="AX291">
        <f t="shared" si="771"/>
        <v>560</v>
      </c>
    </row>
    <row r="292" spans="1:50">
      <c r="A292">
        <v>132</v>
      </c>
      <c r="B292" t="s">
        <v>846</v>
      </c>
      <c r="C292" t="s">
        <v>846</v>
      </c>
      <c r="D292">
        <v>0</v>
      </c>
      <c r="E292">
        <v>1320</v>
      </c>
      <c r="F292">
        <v>760</v>
      </c>
      <c r="G292">
        <v>132</v>
      </c>
      <c r="H292">
        <v>1</v>
      </c>
      <c r="I292">
        <v>1</v>
      </c>
      <c r="J292">
        <v>3</v>
      </c>
      <c r="K292">
        <v>1</v>
      </c>
      <c r="L292">
        <v>1</v>
      </c>
      <c r="M292">
        <v>16</v>
      </c>
      <c r="N292">
        <v>16</v>
      </c>
      <c r="O292">
        <v>10</v>
      </c>
      <c r="P292">
        <v>6</v>
      </c>
      <c r="Q292">
        <v>24</v>
      </c>
      <c r="R292">
        <v>45</v>
      </c>
      <c r="S292">
        <v>9</v>
      </c>
      <c r="T292">
        <v>24</v>
      </c>
      <c r="U292">
        <v>10</v>
      </c>
      <c r="V292">
        <v>6</v>
      </c>
      <c r="W292">
        <v>1</v>
      </c>
      <c r="X292">
        <v>14</v>
      </c>
      <c r="Y292">
        <v>0</v>
      </c>
      <c r="Z292">
        <v>15</v>
      </c>
      <c r="AA292">
        <v>20</v>
      </c>
      <c r="AB292">
        <v>29</v>
      </c>
      <c r="AC292">
        <v>69</v>
      </c>
      <c r="AD292">
        <v>39</v>
      </c>
      <c r="AE292">
        <v>19</v>
      </c>
      <c r="AF292">
        <v>49</v>
      </c>
      <c r="AG292">
        <v>79</v>
      </c>
      <c r="AH292">
        <v>49</v>
      </c>
      <c r="AI292">
        <v>19</v>
      </c>
      <c r="AJ292">
        <v>2</v>
      </c>
      <c r="AK292">
        <v>39</v>
      </c>
      <c r="AL292">
        <v>-1</v>
      </c>
      <c r="AM292">
        <v>-1</v>
      </c>
      <c r="AN292">
        <v>0</v>
      </c>
      <c r="AO292">
        <v>0</v>
      </c>
      <c r="AP292">
        <v>0</v>
      </c>
      <c r="AQ292">
        <v>0</v>
      </c>
      <c r="AR292">
        <f t="shared" si="769"/>
        <v>0</v>
      </c>
      <c r="AS292">
        <f>IF(AND(IFERROR(VLOOKUP(AJ292,Equip!$A:$N,13,FALSE),0)&gt;=5,IFERROR(VLOOKUP(AJ292,Equip!$A:$N,13,FALSE),0)&lt;=9),INT(VLOOKUP(AJ292,Equip!$A:$N,6,FALSE)*SQRT(AN292)),0)</f>
        <v>0</v>
      </c>
      <c r="AT292">
        <f>IF(AND(IFERROR(VLOOKUP(AK292,Equip!$A:$N,13,FALSE),0)&gt;=5,IFERROR(VLOOKUP(AK292,Equip!$A:$N,13,FALSE),0)&lt;=9),INT(VLOOKUP(AK292,Equip!$A:$N,6,FALSE)*SQRT(AO292)),0)</f>
        <v>0</v>
      </c>
      <c r="AU292">
        <f>IF(AND(IFERROR(VLOOKUP(AL292,Equip!$A:$N,13,FALSE),0)&gt;=5,IFERROR(VLOOKUP(AL292,Equip!$A:$N,13,FALSE),0)&lt;=9),INT(VLOOKUP(AL292,Equip!$A:$N,6,FALSE)*SQRT(AP292)),0)</f>
        <v>0</v>
      </c>
      <c r="AV292">
        <f>IF(AND(IFERROR(VLOOKUP(AM292,Equip!$A:$N,13,FALSE),0)&gt;=5,IFERROR(VLOOKUP(AM292,Equip!$A:$N,13,FALSE),0)&lt;=9),INT(VLOOKUP(AM292,Equip!$A:$N,6,FALSE)*SQRT(AQ292)),0)</f>
        <v>0</v>
      </c>
      <c r="AW292">
        <f t="shared" si="770"/>
        <v>0</v>
      </c>
      <c r="AX292">
        <f t="shared" si="771"/>
        <v>319</v>
      </c>
    </row>
    <row r="293" spans="1:50">
      <c r="A293">
        <v>132</v>
      </c>
      <c r="B293" t="s">
        <v>846</v>
      </c>
      <c r="C293" t="s">
        <v>846</v>
      </c>
      <c r="D293">
        <v>1</v>
      </c>
      <c r="E293">
        <f>E292</f>
        <v>1320</v>
      </c>
      <c r="F293">
        <f t="shared" ref="F293" si="879">F292</f>
        <v>760</v>
      </c>
      <c r="G293">
        <f t="shared" ref="G293" si="880">G292</f>
        <v>132</v>
      </c>
      <c r="H293">
        <f t="shared" ref="H293" si="881">H292</f>
        <v>1</v>
      </c>
      <c r="I293">
        <f t="shared" ref="I293" si="882">I292</f>
        <v>1</v>
      </c>
      <c r="J293">
        <f t="shared" ref="J293" si="883">J292</f>
        <v>3</v>
      </c>
      <c r="K293">
        <v>1</v>
      </c>
      <c r="L293">
        <v>1</v>
      </c>
      <c r="M293">
        <v>32</v>
      </c>
      <c r="N293">
        <v>32</v>
      </c>
      <c r="O293">
        <v>13</v>
      </c>
      <c r="P293">
        <v>19</v>
      </c>
      <c r="Q293">
        <v>51</v>
      </c>
      <c r="R293">
        <v>59</v>
      </c>
      <c r="S293">
        <v>32</v>
      </c>
      <c r="T293">
        <v>28</v>
      </c>
      <c r="U293">
        <f t="shared" ref="U293" si="884">U292</f>
        <v>10</v>
      </c>
      <c r="V293">
        <v>17</v>
      </c>
      <c r="W293">
        <f t="shared" ref="W293" si="885">W292</f>
        <v>1</v>
      </c>
      <c r="X293">
        <v>15</v>
      </c>
      <c r="Y293">
        <f t="shared" ref="Y293" si="886">Y292</f>
        <v>0</v>
      </c>
      <c r="Z293">
        <v>15</v>
      </c>
      <c r="AA293">
        <v>20</v>
      </c>
      <c r="AB293">
        <v>44</v>
      </c>
      <c r="AC293">
        <v>79</v>
      </c>
      <c r="AD293">
        <v>59</v>
      </c>
      <c r="AE293">
        <v>49</v>
      </c>
      <c r="AF293">
        <v>59</v>
      </c>
      <c r="AG293">
        <v>89</v>
      </c>
      <c r="AH293">
        <v>64</v>
      </c>
      <c r="AI293">
        <v>39</v>
      </c>
      <c r="AJ293">
        <v>15</v>
      </c>
      <c r="AK293">
        <v>40</v>
      </c>
      <c r="AL293">
        <v>0</v>
      </c>
      <c r="AM293">
        <v>-1</v>
      </c>
      <c r="AN293">
        <v>0</v>
      </c>
      <c r="AO293">
        <v>0</v>
      </c>
      <c r="AP293">
        <v>0</v>
      </c>
      <c r="AQ293">
        <v>0</v>
      </c>
      <c r="AR293">
        <f t="shared" si="769"/>
        <v>0</v>
      </c>
      <c r="AS293">
        <f>IF(AND(IFERROR(VLOOKUP(AJ293,Equip!$A:$N,13,FALSE),0)&gt;=5,IFERROR(VLOOKUP(AJ293,Equip!$A:$N,13,FALSE),0)&lt;=9),INT(VLOOKUP(AJ293,Equip!$A:$N,6,FALSE)*SQRT(AN293)),0)</f>
        <v>0</v>
      </c>
      <c r="AT293">
        <f>IF(AND(IFERROR(VLOOKUP(AK293,Equip!$A:$N,13,FALSE),0)&gt;=5,IFERROR(VLOOKUP(AK293,Equip!$A:$N,13,FALSE),0)&lt;=9),INT(VLOOKUP(AK293,Equip!$A:$N,6,FALSE)*SQRT(AO293)),0)</f>
        <v>0</v>
      </c>
      <c r="AU293">
        <f>IF(AND(IFERROR(VLOOKUP(AL293,Equip!$A:$N,13,FALSE),0)&gt;=5,IFERROR(VLOOKUP(AL293,Equip!$A:$N,13,FALSE),0)&lt;=9),INT(VLOOKUP(AL293,Equip!$A:$N,6,FALSE)*SQRT(AP293)),0)</f>
        <v>0</v>
      </c>
      <c r="AV293">
        <f>IF(AND(IFERROR(VLOOKUP(AM293,Equip!$A:$N,13,FALSE),0)&gt;=5,IFERROR(VLOOKUP(AM293,Equip!$A:$N,13,FALSE),0)&lt;=9),INT(VLOOKUP(AM293,Equip!$A:$N,6,FALSE)*SQRT(AQ293)),0)</f>
        <v>0</v>
      </c>
      <c r="AW293">
        <f t="shared" si="770"/>
        <v>0</v>
      </c>
      <c r="AX293">
        <f t="shared" si="771"/>
        <v>455</v>
      </c>
    </row>
    <row r="294" spans="1:50">
      <c r="A294">
        <v>133</v>
      </c>
      <c r="B294" t="s">
        <v>847</v>
      </c>
      <c r="C294" t="s">
        <v>847</v>
      </c>
      <c r="D294">
        <v>0</v>
      </c>
      <c r="E294">
        <v>1320</v>
      </c>
      <c r="F294">
        <v>760</v>
      </c>
      <c r="G294">
        <v>133</v>
      </c>
      <c r="H294">
        <v>1</v>
      </c>
      <c r="I294">
        <v>1</v>
      </c>
      <c r="J294">
        <v>11</v>
      </c>
      <c r="K294">
        <v>1</v>
      </c>
      <c r="L294">
        <v>1</v>
      </c>
      <c r="M294">
        <v>16</v>
      </c>
      <c r="N294">
        <v>16</v>
      </c>
      <c r="O294">
        <v>10</v>
      </c>
      <c r="P294">
        <v>6</v>
      </c>
      <c r="Q294">
        <v>24</v>
      </c>
      <c r="R294">
        <v>47</v>
      </c>
      <c r="S294">
        <v>9</v>
      </c>
      <c r="T294">
        <v>27</v>
      </c>
      <c r="U294">
        <v>10</v>
      </c>
      <c r="V294">
        <v>6</v>
      </c>
      <c r="W294">
        <v>1</v>
      </c>
      <c r="X294">
        <v>12</v>
      </c>
      <c r="Y294">
        <v>0</v>
      </c>
      <c r="Z294">
        <v>15</v>
      </c>
      <c r="AA294">
        <v>20</v>
      </c>
      <c r="AB294">
        <v>30</v>
      </c>
      <c r="AC294">
        <v>69</v>
      </c>
      <c r="AD294">
        <v>39</v>
      </c>
      <c r="AE294">
        <v>19</v>
      </c>
      <c r="AF294">
        <v>49</v>
      </c>
      <c r="AG294">
        <v>80</v>
      </c>
      <c r="AH294">
        <v>52</v>
      </c>
      <c r="AI294">
        <v>19</v>
      </c>
      <c r="AJ294">
        <v>2</v>
      </c>
      <c r="AK294">
        <v>39</v>
      </c>
      <c r="AL294">
        <v>-1</v>
      </c>
      <c r="AM294">
        <v>-1</v>
      </c>
      <c r="AN294">
        <v>0</v>
      </c>
      <c r="AO294">
        <v>0</v>
      </c>
      <c r="AP294">
        <v>0</v>
      </c>
      <c r="AQ294">
        <v>0</v>
      </c>
      <c r="AR294">
        <f t="shared" si="769"/>
        <v>0</v>
      </c>
      <c r="AS294">
        <f>IF(AND(IFERROR(VLOOKUP(AJ294,Equip!$A:$N,13,FALSE),0)&gt;=5,IFERROR(VLOOKUP(AJ294,Equip!$A:$N,13,FALSE),0)&lt;=9),INT(VLOOKUP(AJ294,Equip!$A:$N,6,FALSE)*SQRT(AN294)),0)</f>
        <v>0</v>
      </c>
      <c r="AT294">
        <f>IF(AND(IFERROR(VLOOKUP(AK294,Equip!$A:$N,13,FALSE),0)&gt;=5,IFERROR(VLOOKUP(AK294,Equip!$A:$N,13,FALSE),0)&lt;=9),INT(VLOOKUP(AK294,Equip!$A:$N,6,FALSE)*SQRT(AO294)),0)</f>
        <v>0</v>
      </c>
      <c r="AU294">
        <f>IF(AND(IFERROR(VLOOKUP(AL294,Equip!$A:$N,13,FALSE),0)&gt;=5,IFERROR(VLOOKUP(AL294,Equip!$A:$N,13,FALSE),0)&lt;=9),INT(VLOOKUP(AL294,Equip!$A:$N,6,FALSE)*SQRT(AP294)),0)</f>
        <v>0</v>
      </c>
      <c r="AV294">
        <f>IF(AND(IFERROR(VLOOKUP(AM294,Equip!$A:$N,13,FALSE),0)&gt;=5,IFERROR(VLOOKUP(AM294,Equip!$A:$N,13,FALSE),0)&lt;=9),INT(VLOOKUP(AM294,Equip!$A:$N,6,FALSE)*SQRT(AQ294)),0)</f>
        <v>0</v>
      </c>
      <c r="AW294">
        <f t="shared" si="770"/>
        <v>0</v>
      </c>
      <c r="AX294">
        <f t="shared" si="771"/>
        <v>324</v>
      </c>
    </row>
    <row r="295" spans="1:50">
      <c r="A295">
        <v>133</v>
      </c>
      <c r="B295" t="s">
        <v>847</v>
      </c>
      <c r="C295" t="s">
        <v>847</v>
      </c>
      <c r="D295">
        <v>1</v>
      </c>
      <c r="E295">
        <f>E294</f>
        <v>1320</v>
      </c>
      <c r="F295">
        <f t="shared" ref="F295" si="887">F294</f>
        <v>760</v>
      </c>
      <c r="G295">
        <f t="shared" ref="G295" si="888">G294</f>
        <v>133</v>
      </c>
      <c r="H295">
        <f t="shared" ref="H295" si="889">H294</f>
        <v>1</v>
      </c>
      <c r="I295">
        <f t="shared" ref="I295" si="890">I294</f>
        <v>1</v>
      </c>
      <c r="J295">
        <f t="shared" ref="J295" si="891">J294</f>
        <v>11</v>
      </c>
      <c r="K295">
        <v>1</v>
      </c>
      <c r="L295">
        <v>1</v>
      </c>
      <c r="M295">
        <v>32</v>
      </c>
      <c r="N295">
        <v>32</v>
      </c>
      <c r="O295">
        <v>17</v>
      </c>
      <c r="P295">
        <v>19</v>
      </c>
      <c r="Q295">
        <v>35</v>
      </c>
      <c r="R295">
        <v>60</v>
      </c>
      <c r="S295">
        <v>21</v>
      </c>
      <c r="T295">
        <v>40</v>
      </c>
      <c r="U295">
        <f t="shared" ref="U295" si="892">U294</f>
        <v>10</v>
      </c>
      <c r="V295">
        <v>19</v>
      </c>
      <c r="W295">
        <f t="shared" ref="W295" si="893">W294</f>
        <v>1</v>
      </c>
      <c r="X295">
        <v>20</v>
      </c>
      <c r="Y295">
        <f t="shared" ref="Y295" si="894">Y294</f>
        <v>0</v>
      </c>
      <c r="Z295">
        <v>15</v>
      </c>
      <c r="AA295">
        <v>20</v>
      </c>
      <c r="AB295">
        <v>50</v>
      </c>
      <c r="AC295">
        <v>80</v>
      </c>
      <c r="AD295">
        <v>50</v>
      </c>
      <c r="AE295">
        <v>49</v>
      </c>
      <c r="AF295">
        <v>59</v>
      </c>
      <c r="AG295">
        <v>90</v>
      </c>
      <c r="AH295">
        <v>67</v>
      </c>
      <c r="AI295">
        <v>42</v>
      </c>
      <c r="AJ295">
        <v>15</v>
      </c>
      <c r="AK295">
        <v>28</v>
      </c>
      <c r="AL295">
        <v>0</v>
      </c>
      <c r="AM295">
        <v>-1</v>
      </c>
      <c r="AN295">
        <v>0</v>
      </c>
      <c r="AO295">
        <v>0</v>
      </c>
      <c r="AP295">
        <v>0</v>
      </c>
      <c r="AQ295">
        <v>0</v>
      </c>
      <c r="AR295">
        <f t="shared" si="769"/>
        <v>0</v>
      </c>
      <c r="AS295">
        <f>IF(AND(IFERROR(VLOOKUP(AJ295,Equip!$A:$N,13,FALSE),0)&gt;=5,IFERROR(VLOOKUP(AJ295,Equip!$A:$N,13,FALSE),0)&lt;=9),INT(VLOOKUP(AJ295,Equip!$A:$N,6,FALSE)*SQRT(AN295)),0)</f>
        <v>0</v>
      </c>
      <c r="AT295">
        <f>IF(AND(IFERROR(VLOOKUP(AK295,Equip!$A:$N,13,FALSE),0)&gt;=5,IFERROR(VLOOKUP(AK295,Equip!$A:$N,13,FALSE),0)&lt;=9),INT(VLOOKUP(AK295,Equip!$A:$N,6,FALSE)*SQRT(AO295)),0)</f>
        <v>0</v>
      </c>
      <c r="AU295">
        <f>IF(AND(IFERROR(VLOOKUP(AL295,Equip!$A:$N,13,FALSE),0)&gt;=5,IFERROR(VLOOKUP(AL295,Equip!$A:$N,13,FALSE),0)&lt;=9),INT(VLOOKUP(AL295,Equip!$A:$N,6,FALSE)*SQRT(AP295)),0)</f>
        <v>0</v>
      </c>
      <c r="AV295">
        <f>IF(AND(IFERROR(VLOOKUP(AM295,Equip!$A:$N,13,FALSE),0)&gt;=5,IFERROR(VLOOKUP(AM295,Equip!$A:$N,13,FALSE),0)&lt;=9),INT(VLOOKUP(AM295,Equip!$A:$N,6,FALSE)*SQRT(AQ295)),0)</f>
        <v>0</v>
      </c>
      <c r="AW295">
        <f t="shared" si="770"/>
        <v>0</v>
      </c>
      <c r="AX295">
        <f t="shared" si="771"/>
        <v>460</v>
      </c>
    </row>
    <row r="296" spans="1:50">
      <c r="A296">
        <v>134</v>
      </c>
      <c r="B296" t="s">
        <v>848</v>
      </c>
      <c r="C296" t="s">
        <v>848</v>
      </c>
      <c r="D296">
        <v>0</v>
      </c>
      <c r="E296">
        <v>1320</v>
      </c>
      <c r="F296">
        <v>760</v>
      </c>
      <c r="G296">
        <v>134</v>
      </c>
      <c r="H296">
        <v>0</v>
      </c>
      <c r="I296">
        <v>1</v>
      </c>
      <c r="J296">
        <v>3</v>
      </c>
      <c r="K296">
        <v>1</v>
      </c>
      <c r="L296">
        <v>1</v>
      </c>
      <c r="M296">
        <v>16</v>
      </c>
      <c r="N296">
        <v>16</v>
      </c>
      <c r="O296">
        <v>10</v>
      </c>
      <c r="P296">
        <v>6</v>
      </c>
      <c r="Q296">
        <v>24</v>
      </c>
      <c r="R296">
        <v>47</v>
      </c>
      <c r="S296">
        <v>9</v>
      </c>
      <c r="T296">
        <v>27</v>
      </c>
      <c r="U296">
        <v>10</v>
      </c>
      <c r="V296">
        <v>6</v>
      </c>
      <c r="W296">
        <v>1</v>
      </c>
      <c r="X296">
        <v>11</v>
      </c>
      <c r="Y296">
        <v>0</v>
      </c>
      <c r="Z296">
        <v>15</v>
      </c>
      <c r="AA296">
        <v>20</v>
      </c>
      <c r="AB296">
        <v>30</v>
      </c>
      <c r="AC296">
        <v>69</v>
      </c>
      <c r="AD296">
        <v>39</v>
      </c>
      <c r="AE296">
        <v>19</v>
      </c>
      <c r="AF296">
        <v>49</v>
      </c>
      <c r="AG296">
        <v>80</v>
      </c>
      <c r="AH296">
        <v>52</v>
      </c>
      <c r="AI296">
        <v>19</v>
      </c>
      <c r="AJ296">
        <v>2</v>
      </c>
      <c r="AK296">
        <v>39</v>
      </c>
      <c r="AL296">
        <v>-1</v>
      </c>
      <c r="AM296">
        <v>-1</v>
      </c>
      <c r="AN296">
        <v>0</v>
      </c>
      <c r="AO296">
        <v>0</v>
      </c>
      <c r="AP296">
        <v>0</v>
      </c>
      <c r="AQ296">
        <v>0</v>
      </c>
      <c r="AR296">
        <f t="shared" si="769"/>
        <v>0</v>
      </c>
      <c r="AS296">
        <f>IF(AND(IFERROR(VLOOKUP(AJ296,Equip!$A:$N,13,FALSE),0)&gt;=5,IFERROR(VLOOKUP(AJ296,Equip!$A:$N,13,FALSE),0)&lt;=9),INT(VLOOKUP(AJ296,Equip!$A:$N,6,FALSE)*SQRT(AN296)),0)</f>
        <v>0</v>
      </c>
      <c r="AT296">
        <f>IF(AND(IFERROR(VLOOKUP(AK296,Equip!$A:$N,13,FALSE),0)&gt;=5,IFERROR(VLOOKUP(AK296,Equip!$A:$N,13,FALSE),0)&lt;=9),INT(VLOOKUP(AK296,Equip!$A:$N,6,FALSE)*SQRT(AO296)),0)</f>
        <v>0</v>
      </c>
      <c r="AU296">
        <f>IF(AND(IFERROR(VLOOKUP(AL296,Equip!$A:$N,13,FALSE),0)&gt;=5,IFERROR(VLOOKUP(AL296,Equip!$A:$N,13,FALSE),0)&lt;=9),INT(VLOOKUP(AL296,Equip!$A:$N,6,FALSE)*SQRT(AP296)),0)</f>
        <v>0</v>
      </c>
      <c r="AV296">
        <f>IF(AND(IFERROR(VLOOKUP(AM296,Equip!$A:$N,13,FALSE),0)&gt;=5,IFERROR(VLOOKUP(AM296,Equip!$A:$N,13,FALSE),0)&lt;=9),INT(VLOOKUP(AM296,Equip!$A:$N,6,FALSE)*SQRT(AQ296)),0)</f>
        <v>0</v>
      </c>
      <c r="AW296">
        <f t="shared" si="770"/>
        <v>0</v>
      </c>
      <c r="AX296">
        <f t="shared" si="771"/>
        <v>324</v>
      </c>
    </row>
    <row r="297" spans="1:50">
      <c r="A297">
        <v>134</v>
      </c>
      <c r="B297" t="s">
        <v>848</v>
      </c>
      <c r="C297" t="s">
        <v>848</v>
      </c>
      <c r="D297">
        <v>1</v>
      </c>
      <c r="E297">
        <f>E296</f>
        <v>1320</v>
      </c>
      <c r="F297">
        <f t="shared" ref="F297" si="895">F296</f>
        <v>760</v>
      </c>
      <c r="G297">
        <f t="shared" ref="G297" si="896">G296</f>
        <v>134</v>
      </c>
      <c r="H297">
        <f t="shared" ref="H297" si="897">H296</f>
        <v>0</v>
      </c>
      <c r="I297">
        <f t="shared" ref="I297" si="898">I296</f>
        <v>1</v>
      </c>
      <c r="J297">
        <f t="shared" ref="J297" si="899">J296</f>
        <v>3</v>
      </c>
      <c r="K297">
        <v>1</v>
      </c>
      <c r="L297">
        <v>1</v>
      </c>
      <c r="M297">
        <v>32</v>
      </c>
      <c r="N297">
        <v>32</v>
      </c>
      <c r="O297">
        <v>17</v>
      </c>
      <c r="P297">
        <v>19</v>
      </c>
      <c r="Q297">
        <v>35</v>
      </c>
      <c r="R297">
        <v>60</v>
      </c>
      <c r="S297">
        <v>21</v>
      </c>
      <c r="T297">
        <v>40</v>
      </c>
      <c r="U297">
        <f t="shared" ref="U297" si="900">U296</f>
        <v>10</v>
      </c>
      <c r="V297">
        <v>19</v>
      </c>
      <c r="W297">
        <f t="shared" ref="W297" si="901">W296</f>
        <v>1</v>
      </c>
      <c r="X297">
        <v>12</v>
      </c>
      <c r="Y297">
        <f t="shared" ref="Y297" si="902">Y296</f>
        <v>0</v>
      </c>
      <c r="Z297">
        <v>15</v>
      </c>
      <c r="AA297">
        <v>20</v>
      </c>
      <c r="AB297">
        <v>50</v>
      </c>
      <c r="AC297">
        <v>80</v>
      </c>
      <c r="AD297">
        <v>50</v>
      </c>
      <c r="AE297">
        <v>49</v>
      </c>
      <c r="AF297">
        <v>59</v>
      </c>
      <c r="AG297">
        <v>90</v>
      </c>
      <c r="AH297">
        <v>67</v>
      </c>
      <c r="AI297">
        <v>42</v>
      </c>
      <c r="AJ297">
        <v>15</v>
      </c>
      <c r="AK297">
        <v>47</v>
      </c>
      <c r="AL297">
        <v>0</v>
      </c>
      <c r="AM297">
        <v>-1</v>
      </c>
      <c r="AN297">
        <v>0</v>
      </c>
      <c r="AO297">
        <v>0</v>
      </c>
      <c r="AP297">
        <v>0</v>
      </c>
      <c r="AQ297">
        <v>0</v>
      </c>
      <c r="AR297">
        <f t="shared" si="769"/>
        <v>0</v>
      </c>
      <c r="AS297">
        <f>IF(AND(IFERROR(VLOOKUP(AJ297,Equip!$A:$N,13,FALSE),0)&gt;=5,IFERROR(VLOOKUP(AJ297,Equip!$A:$N,13,FALSE),0)&lt;=9),INT(VLOOKUP(AJ297,Equip!$A:$N,6,FALSE)*SQRT(AN297)),0)</f>
        <v>0</v>
      </c>
      <c r="AT297">
        <f>IF(AND(IFERROR(VLOOKUP(AK297,Equip!$A:$N,13,FALSE),0)&gt;=5,IFERROR(VLOOKUP(AK297,Equip!$A:$N,13,FALSE),0)&lt;=9),INT(VLOOKUP(AK297,Equip!$A:$N,6,FALSE)*SQRT(AO297)),0)</f>
        <v>0</v>
      </c>
      <c r="AU297">
        <f>IF(AND(IFERROR(VLOOKUP(AL297,Equip!$A:$N,13,FALSE),0)&gt;=5,IFERROR(VLOOKUP(AL297,Equip!$A:$N,13,FALSE),0)&lt;=9),INT(VLOOKUP(AL297,Equip!$A:$N,6,FALSE)*SQRT(AP297)),0)</f>
        <v>0</v>
      </c>
      <c r="AV297">
        <f>IF(AND(IFERROR(VLOOKUP(AM297,Equip!$A:$N,13,FALSE),0)&gt;=5,IFERROR(VLOOKUP(AM297,Equip!$A:$N,13,FALSE),0)&lt;=9),INT(VLOOKUP(AM297,Equip!$A:$N,6,FALSE)*SQRT(AQ297)),0)</f>
        <v>0</v>
      </c>
      <c r="AW297">
        <f t="shared" si="770"/>
        <v>0</v>
      </c>
      <c r="AX297">
        <f t="shared" si="771"/>
        <v>460</v>
      </c>
    </row>
    <row r="298" spans="1:50">
      <c r="A298">
        <v>135</v>
      </c>
      <c r="B298" t="s">
        <v>849</v>
      </c>
      <c r="C298" t="s">
        <v>849</v>
      </c>
      <c r="D298">
        <v>0</v>
      </c>
      <c r="E298">
        <v>1320</v>
      </c>
      <c r="F298">
        <v>760</v>
      </c>
      <c r="G298">
        <v>135</v>
      </c>
      <c r="H298">
        <v>1</v>
      </c>
      <c r="I298">
        <v>1</v>
      </c>
      <c r="J298">
        <v>10</v>
      </c>
      <c r="K298">
        <v>1</v>
      </c>
      <c r="L298">
        <v>1</v>
      </c>
      <c r="M298">
        <v>16</v>
      </c>
      <c r="N298">
        <v>16</v>
      </c>
      <c r="O298">
        <v>10</v>
      </c>
      <c r="P298">
        <v>6</v>
      </c>
      <c r="Q298">
        <v>24</v>
      </c>
      <c r="R298">
        <v>47</v>
      </c>
      <c r="S298">
        <v>9</v>
      </c>
      <c r="T298">
        <v>27</v>
      </c>
      <c r="U298">
        <v>10</v>
      </c>
      <c r="V298">
        <v>6</v>
      </c>
      <c r="W298">
        <v>1</v>
      </c>
      <c r="X298">
        <v>13</v>
      </c>
      <c r="Y298">
        <v>0</v>
      </c>
      <c r="Z298">
        <v>20</v>
      </c>
      <c r="AA298">
        <v>25</v>
      </c>
      <c r="AB298">
        <v>30</v>
      </c>
      <c r="AC298">
        <v>69</v>
      </c>
      <c r="AD298">
        <v>39</v>
      </c>
      <c r="AE298">
        <v>19</v>
      </c>
      <c r="AF298">
        <v>49</v>
      </c>
      <c r="AG298">
        <v>80</v>
      </c>
      <c r="AH298">
        <v>52</v>
      </c>
      <c r="AI298">
        <v>19</v>
      </c>
      <c r="AJ298">
        <v>2</v>
      </c>
      <c r="AK298">
        <v>39</v>
      </c>
      <c r="AL298">
        <v>-1</v>
      </c>
      <c r="AM298">
        <v>-1</v>
      </c>
      <c r="AN298">
        <v>0</v>
      </c>
      <c r="AO298">
        <v>0</v>
      </c>
      <c r="AP298">
        <v>0</v>
      </c>
      <c r="AQ298">
        <v>0</v>
      </c>
      <c r="AR298">
        <f t="shared" si="769"/>
        <v>0</v>
      </c>
      <c r="AS298">
        <f>IF(AND(IFERROR(VLOOKUP(AJ298,Equip!$A:$N,13,FALSE),0)&gt;=5,IFERROR(VLOOKUP(AJ298,Equip!$A:$N,13,FALSE),0)&lt;=9),INT(VLOOKUP(AJ298,Equip!$A:$N,6,FALSE)*SQRT(AN298)),0)</f>
        <v>0</v>
      </c>
      <c r="AT298">
        <f>IF(AND(IFERROR(VLOOKUP(AK298,Equip!$A:$N,13,FALSE),0)&gt;=5,IFERROR(VLOOKUP(AK298,Equip!$A:$N,13,FALSE),0)&lt;=9),INT(VLOOKUP(AK298,Equip!$A:$N,6,FALSE)*SQRT(AO298)),0)</f>
        <v>0</v>
      </c>
      <c r="AU298">
        <f>IF(AND(IFERROR(VLOOKUP(AL298,Equip!$A:$N,13,FALSE),0)&gt;=5,IFERROR(VLOOKUP(AL298,Equip!$A:$N,13,FALSE),0)&lt;=9),INT(VLOOKUP(AL298,Equip!$A:$N,6,FALSE)*SQRT(AP298)),0)</f>
        <v>0</v>
      </c>
      <c r="AV298">
        <f>IF(AND(IFERROR(VLOOKUP(AM298,Equip!$A:$N,13,FALSE),0)&gt;=5,IFERROR(VLOOKUP(AM298,Equip!$A:$N,13,FALSE),0)&lt;=9),INT(VLOOKUP(AM298,Equip!$A:$N,6,FALSE)*SQRT(AQ298)),0)</f>
        <v>0</v>
      </c>
      <c r="AW298">
        <f t="shared" si="770"/>
        <v>0</v>
      </c>
      <c r="AX298">
        <f t="shared" si="771"/>
        <v>324</v>
      </c>
    </row>
    <row r="299" spans="1:50">
      <c r="A299">
        <v>135</v>
      </c>
      <c r="B299" t="s">
        <v>849</v>
      </c>
      <c r="C299" t="s">
        <v>849</v>
      </c>
      <c r="D299">
        <v>1</v>
      </c>
      <c r="E299">
        <f>E298</f>
        <v>1320</v>
      </c>
      <c r="F299">
        <f t="shared" ref="F299" si="903">F298</f>
        <v>760</v>
      </c>
      <c r="G299">
        <f t="shared" ref="G299" si="904">G298</f>
        <v>135</v>
      </c>
      <c r="H299">
        <f t="shared" ref="H299" si="905">H298</f>
        <v>1</v>
      </c>
      <c r="I299">
        <f t="shared" ref="I299" si="906">I298</f>
        <v>1</v>
      </c>
      <c r="J299">
        <f t="shared" ref="J299" si="907">J298</f>
        <v>10</v>
      </c>
      <c r="K299">
        <v>1</v>
      </c>
      <c r="L299">
        <v>1</v>
      </c>
      <c r="M299">
        <v>32</v>
      </c>
      <c r="N299">
        <v>32</v>
      </c>
      <c r="O299">
        <v>17</v>
      </c>
      <c r="P299">
        <v>19</v>
      </c>
      <c r="Q299">
        <v>35</v>
      </c>
      <c r="R299">
        <v>60</v>
      </c>
      <c r="S299">
        <v>21</v>
      </c>
      <c r="T299">
        <v>40</v>
      </c>
      <c r="U299">
        <f t="shared" ref="U299" si="908">U298</f>
        <v>10</v>
      </c>
      <c r="V299">
        <v>19</v>
      </c>
      <c r="W299">
        <f t="shared" ref="W299" si="909">W298</f>
        <v>1</v>
      </c>
      <c r="X299">
        <v>14</v>
      </c>
      <c r="Y299">
        <f t="shared" ref="Y299" si="910">Y298</f>
        <v>0</v>
      </c>
      <c r="Z299">
        <v>15</v>
      </c>
      <c r="AA299">
        <v>20</v>
      </c>
      <c r="AB299">
        <v>50</v>
      </c>
      <c r="AC299">
        <v>80</v>
      </c>
      <c r="AD299">
        <v>50</v>
      </c>
      <c r="AE299">
        <v>49</v>
      </c>
      <c r="AF299">
        <v>59</v>
      </c>
      <c r="AG299">
        <v>90</v>
      </c>
      <c r="AH299">
        <v>67</v>
      </c>
      <c r="AI299">
        <v>42</v>
      </c>
      <c r="AJ299">
        <v>15</v>
      </c>
      <c r="AK299">
        <v>47</v>
      </c>
      <c r="AL299">
        <v>0</v>
      </c>
      <c r="AM299">
        <v>-1</v>
      </c>
      <c r="AN299">
        <v>0</v>
      </c>
      <c r="AO299">
        <v>0</v>
      </c>
      <c r="AP299">
        <v>0</v>
      </c>
      <c r="AQ299">
        <v>0</v>
      </c>
      <c r="AR299">
        <f t="shared" si="769"/>
        <v>0</v>
      </c>
      <c r="AS299">
        <f>IF(AND(IFERROR(VLOOKUP(AJ299,Equip!$A:$N,13,FALSE),0)&gt;=5,IFERROR(VLOOKUP(AJ299,Equip!$A:$N,13,FALSE),0)&lt;=9),INT(VLOOKUP(AJ299,Equip!$A:$N,6,FALSE)*SQRT(AN299)),0)</f>
        <v>0</v>
      </c>
      <c r="AT299">
        <f>IF(AND(IFERROR(VLOOKUP(AK299,Equip!$A:$N,13,FALSE),0)&gt;=5,IFERROR(VLOOKUP(AK299,Equip!$A:$N,13,FALSE),0)&lt;=9),INT(VLOOKUP(AK299,Equip!$A:$N,6,FALSE)*SQRT(AO299)),0)</f>
        <v>0</v>
      </c>
      <c r="AU299">
        <f>IF(AND(IFERROR(VLOOKUP(AL299,Equip!$A:$N,13,FALSE),0)&gt;=5,IFERROR(VLOOKUP(AL299,Equip!$A:$N,13,FALSE),0)&lt;=9),INT(VLOOKUP(AL299,Equip!$A:$N,6,FALSE)*SQRT(AP299)),0)</f>
        <v>0</v>
      </c>
      <c r="AV299">
        <f>IF(AND(IFERROR(VLOOKUP(AM299,Equip!$A:$N,13,FALSE),0)&gt;=5,IFERROR(VLOOKUP(AM299,Equip!$A:$N,13,FALSE),0)&lt;=9),INT(VLOOKUP(AM299,Equip!$A:$N,6,FALSE)*SQRT(AQ299)),0)</f>
        <v>0</v>
      </c>
      <c r="AW299">
        <f t="shared" si="770"/>
        <v>0</v>
      </c>
      <c r="AX299">
        <f t="shared" si="771"/>
        <v>460</v>
      </c>
    </row>
    <row r="300" spans="1:50">
      <c r="A300">
        <v>137</v>
      </c>
      <c r="B300" t="s">
        <v>850</v>
      </c>
      <c r="C300" t="s">
        <v>850</v>
      </c>
      <c r="D300">
        <v>0</v>
      </c>
      <c r="E300">
        <v>1733</v>
      </c>
      <c r="F300">
        <v>966</v>
      </c>
      <c r="G300">
        <v>137</v>
      </c>
      <c r="H300">
        <v>1</v>
      </c>
      <c r="I300">
        <v>1</v>
      </c>
      <c r="J300">
        <v>0</v>
      </c>
      <c r="K300">
        <v>2</v>
      </c>
      <c r="L300">
        <v>2</v>
      </c>
      <c r="M300">
        <v>30</v>
      </c>
      <c r="N300">
        <v>30</v>
      </c>
      <c r="O300">
        <v>20</v>
      </c>
      <c r="P300">
        <v>17</v>
      </c>
      <c r="Q300">
        <v>24</v>
      </c>
      <c r="R300">
        <v>37</v>
      </c>
      <c r="S300">
        <v>17</v>
      </c>
      <c r="T300">
        <v>25</v>
      </c>
      <c r="U300">
        <v>10</v>
      </c>
      <c r="V300">
        <v>12</v>
      </c>
      <c r="W300">
        <v>2</v>
      </c>
      <c r="X300">
        <v>10</v>
      </c>
      <c r="Y300">
        <v>0</v>
      </c>
      <c r="Z300">
        <v>30</v>
      </c>
      <c r="AA300">
        <v>35</v>
      </c>
      <c r="AB300">
        <v>42</v>
      </c>
      <c r="AC300">
        <v>72</v>
      </c>
      <c r="AD300">
        <v>60</v>
      </c>
      <c r="AE300">
        <v>32</v>
      </c>
      <c r="AF300">
        <v>49</v>
      </c>
      <c r="AG300">
        <v>72</v>
      </c>
      <c r="AH300">
        <v>70</v>
      </c>
      <c r="AI300">
        <v>45</v>
      </c>
      <c r="AJ300">
        <v>65</v>
      </c>
      <c r="AK300">
        <v>66</v>
      </c>
      <c r="AL300">
        <v>0</v>
      </c>
      <c r="AM300">
        <v>-1</v>
      </c>
      <c r="AN300">
        <v>2</v>
      </c>
      <c r="AO300">
        <v>2</v>
      </c>
      <c r="AP300">
        <v>2</v>
      </c>
      <c r="AQ300">
        <v>0</v>
      </c>
      <c r="AR300">
        <f t="shared" si="769"/>
        <v>6</v>
      </c>
      <c r="AS300">
        <f>IF(AND(IFERROR(VLOOKUP(AJ300,Equip!$A:$N,13,FALSE),0)&gt;=5,IFERROR(VLOOKUP(AJ300,Equip!$A:$N,13,FALSE),0)&lt;=9),INT(VLOOKUP(AJ300,Equip!$A:$N,6,FALSE)*SQRT(AN300)),0)</f>
        <v>0</v>
      </c>
      <c r="AT300">
        <f>IF(AND(IFERROR(VLOOKUP(AK300,Equip!$A:$N,13,FALSE),0)&gt;=5,IFERROR(VLOOKUP(AK300,Equip!$A:$N,13,FALSE),0)&lt;=9),INT(VLOOKUP(AK300,Equip!$A:$N,6,FALSE)*SQRT(AO300)),0)</f>
        <v>0</v>
      </c>
      <c r="AU300">
        <f>IF(AND(IFERROR(VLOOKUP(AL300,Equip!$A:$N,13,FALSE),0)&gt;=5,IFERROR(VLOOKUP(AL300,Equip!$A:$N,13,FALSE),0)&lt;=9),INT(VLOOKUP(AL300,Equip!$A:$N,6,FALSE)*SQRT(AP300)),0)</f>
        <v>0</v>
      </c>
      <c r="AV300">
        <f>IF(AND(IFERROR(VLOOKUP(AM300,Equip!$A:$N,13,FALSE),0)&gt;=5,IFERROR(VLOOKUP(AM300,Equip!$A:$N,13,FALSE),0)&lt;=9),INT(VLOOKUP(AM300,Equip!$A:$N,6,FALSE)*SQRT(AQ300)),0)</f>
        <v>0</v>
      </c>
      <c r="AW300">
        <f t="shared" si="770"/>
        <v>0</v>
      </c>
      <c r="AX300">
        <f t="shared" si="771"/>
        <v>423</v>
      </c>
    </row>
    <row r="301" spans="1:50">
      <c r="A301">
        <v>137</v>
      </c>
      <c r="B301" t="s">
        <v>850</v>
      </c>
      <c r="C301" t="s">
        <v>850</v>
      </c>
      <c r="D301">
        <v>1</v>
      </c>
      <c r="E301">
        <f>E300</f>
        <v>1733</v>
      </c>
      <c r="F301">
        <f t="shared" ref="F301" si="911">F300</f>
        <v>966</v>
      </c>
      <c r="G301">
        <f t="shared" ref="G301" si="912">G300</f>
        <v>137</v>
      </c>
      <c r="H301">
        <f t="shared" ref="H301" si="913">H300</f>
        <v>1</v>
      </c>
      <c r="I301">
        <f t="shared" ref="I301" si="914">I300</f>
        <v>1</v>
      </c>
      <c r="J301">
        <f t="shared" ref="J301" si="915">J300</f>
        <v>0</v>
      </c>
      <c r="K301">
        <v>2</v>
      </c>
      <c r="L301">
        <v>2</v>
      </c>
      <c r="M301">
        <v>45</v>
      </c>
      <c r="N301">
        <v>45</v>
      </c>
      <c r="O301">
        <v>36</v>
      </c>
      <c r="P301">
        <v>37</v>
      </c>
      <c r="Q301">
        <v>40</v>
      </c>
      <c r="R301">
        <v>55</v>
      </c>
      <c r="S301">
        <v>31</v>
      </c>
      <c r="T301">
        <v>45</v>
      </c>
      <c r="U301">
        <f t="shared" ref="U301" si="916">U300</f>
        <v>10</v>
      </c>
      <c r="V301">
        <v>29</v>
      </c>
      <c r="W301">
        <f t="shared" ref="W301" si="917">W300</f>
        <v>2</v>
      </c>
      <c r="X301">
        <v>10</v>
      </c>
      <c r="Y301">
        <f t="shared" ref="Y301" si="918">Y300</f>
        <v>0</v>
      </c>
      <c r="Z301">
        <v>30</v>
      </c>
      <c r="AA301">
        <v>40</v>
      </c>
      <c r="AB301">
        <v>67</v>
      </c>
      <c r="AC301">
        <v>79</v>
      </c>
      <c r="AD301">
        <v>73</v>
      </c>
      <c r="AE301">
        <v>69</v>
      </c>
      <c r="AF301">
        <v>59</v>
      </c>
      <c r="AG301">
        <v>80</v>
      </c>
      <c r="AH301">
        <v>82</v>
      </c>
      <c r="AI301">
        <v>59</v>
      </c>
      <c r="AJ301">
        <v>65</v>
      </c>
      <c r="AK301">
        <v>28</v>
      </c>
      <c r="AL301">
        <v>0</v>
      </c>
      <c r="AM301">
        <v>-1</v>
      </c>
      <c r="AN301">
        <v>2</v>
      </c>
      <c r="AO301">
        <v>2</v>
      </c>
      <c r="AP301">
        <v>2</v>
      </c>
      <c r="AQ301">
        <v>0</v>
      </c>
      <c r="AR301">
        <f t="shared" si="769"/>
        <v>6</v>
      </c>
      <c r="AS301">
        <f>IF(AND(IFERROR(VLOOKUP(AJ301,Equip!$A:$N,13,FALSE),0)&gt;=5,IFERROR(VLOOKUP(AJ301,Equip!$A:$N,13,FALSE),0)&lt;=9),INT(VLOOKUP(AJ301,Equip!$A:$N,6,FALSE)*SQRT(AN301)),0)</f>
        <v>0</v>
      </c>
      <c r="AT301">
        <f>IF(AND(IFERROR(VLOOKUP(AK301,Equip!$A:$N,13,FALSE),0)&gt;=5,IFERROR(VLOOKUP(AK301,Equip!$A:$N,13,FALSE),0)&lt;=9),INT(VLOOKUP(AK301,Equip!$A:$N,6,FALSE)*SQRT(AO301)),0)</f>
        <v>0</v>
      </c>
      <c r="AU301">
        <f>IF(AND(IFERROR(VLOOKUP(AL301,Equip!$A:$N,13,FALSE),0)&gt;=5,IFERROR(VLOOKUP(AL301,Equip!$A:$N,13,FALSE),0)&lt;=9),INT(VLOOKUP(AL301,Equip!$A:$N,6,FALSE)*SQRT(AP301)),0)</f>
        <v>0</v>
      </c>
      <c r="AV301">
        <f>IF(AND(IFERROR(VLOOKUP(AM301,Equip!$A:$N,13,FALSE),0)&gt;=5,IFERROR(VLOOKUP(AM301,Equip!$A:$N,13,FALSE),0)&lt;=9),INT(VLOOKUP(AM301,Equip!$A:$N,6,FALSE)*SQRT(AQ301)),0)</f>
        <v>0</v>
      </c>
      <c r="AW301">
        <f t="shared" si="770"/>
        <v>0</v>
      </c>
      <c r="AX301">
        <f t="shared" si="771"/>
        <v>554</v>
      </c>
    </row>
    <row r="302" spans="1:50">
      <c r="A302">
        <v>138</v>
      </c>
      <c r="B302" t="s">
        <v>851</v>
      </c>
      <c r="C302" t="s">
        <v>851</v>
      </c>
      <c r="D302">
        <v>0</v>
      </c>
      <c r="E302">
        <v>1733</v>
      </c>
      <c r="F302">
        <v>966</v>
      </c>
      <c r="G302">
        <v>138</v>
      </c>
      <c r="H302">
        <v>1</v>
      </c>
      <c r="I302">
        <v>1</v>
      </c>
      <c r="J302">
        <v>1</v>
      </c>
      <c r="K302">
        <v>2</v>
      </c>
      <c r="L302">
        <v>2</v>
      </c>
      <c r="M302">
        <v>30</v>
      </c>
      <c r="N302">
        <v>30</v>
      </c>
      <c r="O302">
        <v>20</v>
      </c>
      <c r="P302">
        <v>17</v>
      </c>
      <c r="Q302">
        <v>24</v>
      </c>
      <c r="R302">
        <v>37</v>
      </c>
      <c r="S302">
        <v>17</v>
      </c>
      <c r="T302">
        <v>25</v>
      </c>
      <c r="U302">
        <v>10</v>
      </c>
      <c r="V302">
        <v>12</v>
      </c>
      <c r="W302">
        <v>2</v>
      </c>
      <c r="X302">
        <v>10</v>
      </c>
      <c r="Y302">
        <v>0</v>
      </c>
      <c r="Z302">
        <v>30</v>
      </c>
      <c r="AA302">
        <v>35</v>
      </c>
      <c r="AB302">
        <v>42</v>
      </c>
      <c r="AC302">
        <v>72</v>
      </c>
      <c r="AD302">
        <v>60</v>
      </c>
      <c r="AE302">
        <v>32</v>
      </c>
      <c r="AF302">
        <v>49</v>
      </c>
      <c r="AG302">
        <v>72</v>
      </c>
      <c r="AH302">
        <v>70</v>
      </c>
      <c r="AI302">
        <v>45</v>
      </c>
      <c r="AJ302">
        <v>65</v>
      </c>
      <c r="AK302">
        <v>66</v>
      </c>
      <c r="AL302">
        <v>0</v>
      </c>
      <c r="AM302">
        <v>-1</v>
      </c>
      <c r="AN302">
        <v>2</v>
      </c>
      <c r="AO302">
        <v>2</v>
      </c>
      <c r="AP302">
        <v>2</v>
      </c>
      <c r="AQ302">
        <v>0</v>
      </c>
      <c r="AR302">
        <f t="shared" si="769"/>
        <v>6</v>
      </c>
      <c r="AS302">
        <f>IF(AND(IFERROR(VLOOKUP(AJ302,Equip!$A:$N,13,FALSE),0)&gt;=5,IFERROR(VLOOKUP(AJ302,Equip!$A:$N,13,FALSE),0)&lt;=9),INT(VLOOKUP(AJ302,Equip!$A:$N,6,FALSE)*SQRT(AN302)),0)</f>
        <v>0</v>
      </c>
      <c r="AT302">
        <f>IF(AND(IFERROR(VLOOKUP(AK302,Equip!$A:$N,13,FALSE),0)&gt;=5,IFERROR(VLOOKUP(AK302,Equip!$A:$N,13,FALSE),0)&lt;=9),INT(VLOOKUP(AK302,Equip!$A:$N,6,FALSE)*SQRT(AO302)),0)</f>
        <v>0</v>
      </c>
      <c r="AU302">
        <f>IF(AND(IFERROR(VLOOKUP(AL302,Equip!$A:$N,13,FALSE),0)&gt;=5,IFERROR(VLOOKUP(AL302,Equip!$A:$N,13,FALSE),0)&lt;=9),INT(VLOOKUP(AL302,Equip!$A:$N,6,FALSE)*SQRT(AP302)),0)</f>
        <v>0</v>
      </c>
      <c r="AV302">
        <f>IF(AND(IFERROR(VLOOKUP(AM302,Equip!$A:$N,13,FALSE),0)&gt;=5,IFERROR(VLOOKUP(AM302,Equip!$A:$N,13,FALSE),0)&lt;=9),INT(VLOOKUP(AM302,Equip!$A:$N,6,FALSE)*SQRT(AQ302)),0)</f>
        <v>0</v>
      </c>
      <c r="AW302">
        <f t="shared" si="770"/>
        <v>0</v>
      </c>
      <c r="AX302">
        <f t="shared" si="771"/>
        <v>423</v>
      </c>
    </row>
    <row r="303" spans="1:50">
      <c r="A303">
        <v>138</v>
      </c>
      <c r="B303" t="s">
        <v>851</v>
      </c>
      <c r="C303" t="s">
        <v>851</v>
      </c>
      <c r="D303">
        <v>1</v>
      </c>
      <c r="E303">
        <f>E302</f>
        <v>1733</v>
      </c>
      <c r="F303">
        <f t="shared" ref="F303" si="919">F302</f>
        <v>966</v>
      </c>
      <c r="G303">
        <f t="shared" ref="G303" si="920">G302</f>
        <v>138</v>
      </c>
      <c r="H303">
        <f t="shared" ref="H303" si="921">H302</f>
        <v>1</v>
      </c>
      <c r="I303">
        <f t="shared" ref="I303" si="922">I302</f>
        <v>1</v>
      </c>
      <c r="J303">
        <f t="shared" ref="J303" si="923">J302</f>
        <v>1</v>
      </c>
      <c r="K303">
        <v>2</v>
      </c>
      <c r="L303">
        <v>2</v>
      </c>
      <c r="M303">
        <v>45</v>
      </c>
      <c r="N303">
        <v>45</v>
      </c>
      <c r="O303">
        <v>33</v>
      </c>
      <c r="P303">
        <v>42</v>
      </c>
      <c r="Q303">
        <v>32</v>
      </c>
      <c r="R303">
        <v>55</v>
      </c>
      <c r="S303">
        <v>28</v>
      </c>
      <c r="T303">
        <v>45</v>
      </c>
      <c r="U303">
        <f t="shared" ref="U303" si="924">U302</f>
        <v>10</v>
      </c>
      <c r="V303">
        <v>29</v>
      </c>
      <c r="W303">
        <f t="shared" ref="W303" si="925">W302</f>
        <v>2</v>
      </c>
      <c r="X303">
        <v>10</v>
      </c>
      <c r="Y303">
        <f t="shared" ref="Y303" si="926">Y302</f>
        <v>0</v>
      </c>
      <c r="Z303">
        <v>30</v>
      </c>
      <c r="AA303">
        <v>40</v>
      </c>
      <c r="AB303">
        <v>68</v>
      </c>
      <c r="AC303">
        <v>79</v>
      </c>
      <c r="AD303">
        <v>72</v>
      </c>
      <c r="AE303">
        <v>69</v>
      </c>
      <c r="AF303">
        <v>64</v>
      </c>
      <c r="AG303">
        <v>80</v>
      </c>
      <c r="AH303">
        <v>82</v>
      </c>
      <c r="AI303">
        <v>59</v>
      </c>
      <c r="AJ303">
        <v>65</v>
      </c>
      <c r="AK303">
        <v>28</v>
      </c>
      <c r="AL303">
        <v>0</v>
      </c>
      <c r="AM303">
        <v>-1</v>
      </c>
      <c r="AN303">
        <v>2</v>
      </c>
      <c r="AO303">
        <v>2</v>
      </c>
      <c r="AP303">
        <v>2</v>
      </c>
      <c r="AQ303">
        <v>0</v>
      </c>
      <c r="AR303">
        <f t="shared" si="769"/>
        <v>6</v>
      </c>
      <c r="AS303">
        <f>IF(AND(IFERROR(VLOOKUP(AJ303,Equip!$A:$N,13,FALSE),0)&gt;=5,IFERROR(VLOOKUP(AJ303,Equip!$A:$N,13,FALSE),0)&lt;=9),INT(VLOOKUP(AJ303,Equip!$A:$N,6,FALSE)*SQRT(AN303)),0)</f>
        <v>0</v>
      </c>
      <c r="AT303">
        <f>IF(AND(IFERROR(VLOOKUP(AK303,Equip!$A:$N,13,FALSE),0)&gt;=5,IFERROR(VLOOKUP(AK303,Equip!$A:$N,13,FALSE),0)&lt;=9),INT(VLOOKUP(AK303,Equip!$A:$N,6,FALSE)*SQRT(AO303)),0)</f>
        <v>0</v>
      </c>
      <c r="AU303">
        <f>IF(AND(IFERROR(VLOOKUP(AL303,Equip!$A:$N,13,FALSE),0)&gt;=5,IFERROR(VLOOKUP(AL303,Equip!$A:$N,13,FALSE),0)&lt;=9),INT(VLOOKUP(AL303,Equip!$A:$N,6,FALSE)*SQRT(AP303)),0)</f>
        <v>0</v>
      </c>
      <c r="AV303">
        <f>IF(AND(IFERROR(VLOOKUP(AM303,Equip!$A:$N,13,FALSE),0)&gt;=5,IFERROR(VLOOKUP(AM303,Equip!$A:$N,13,FALSE),0)&lt;=9),INT(VLOOKUP(AM303,Equip!$A:$N,6,FALSE)*SQRT(AQ303)),0)</f>
        <v>0</v>
      </c>
      <c r="AW303">
        <f t="shared" si="770"/>
        <v>0</v>
      </c>
      <c r="AX303">
        <f t="shared" si="771"/>
        <v>554</v>
      </c>
    </row>
    <row r="304" spans="1:50">
      <c r="A304">
        <v>139</v>
      </c>
      <c r="B304" t="s">
        <v>852</v>
      </c>
      <c r="C304" t="s">
        <v>852</v>
      </c>
      <c r="D304">
        <v>0</v>
      </c>
      <c r="E304">
        <v>1758</v>
      </c>
      <c r="F304">
        <v>979</v>
      </c>
      <c r="G304">
        <v>139</v>
      </c>
      <c r="H304">
        <v>1</v>
      </c>
      <c r="I304">
        <v>1</v>
      </c>
      <c r="J304">
        <v>0</v>
      </c>
      <c r="K304">
        <v>2</v>
      </c>
      <c r="L304">
        <v>2</v>
      </c>
      <c r="M304">
        <v>31</v>
      </c>
      <c r="N304">
        <v>31</v>
      </c>
      <c r="O304">
        <v>20</v>
      </c>
      <c r="P304">
        <v>17</v>
      </c>
      <c r="Q304">
        <v>24</v>
      </c>
      <c r="R304">
        <v>38</v>
      </c>
      <c r="S304">
        <v>17</v>
      </c>
      <c r="T304">
        <v>25</v>
      </c>
      <c r="U304">
        <v>10</v>
      </c>
      <c r="V304">
        <v>13</v>
      </c>
      <c r="W304">
        <v>2</v>
      </c>
      <c r="X304">
        <v>13</v>
      </c>
      <c r="Y304">
        <v>0</v>
      </c>
      <c r="Z304">
        <v>30</v>
      </c>
      <c r="AA304">
        <v>35</v>
      </c>
      <c r="AB304">
        <v>42</v>
      </c>
      <c r="AC304">
        <v>72</v>
      </c>
      <c r="AD304">
        <v>63</v>
      </c>
      <c r="AE304">
        <v>33</v>
      </c>
      <c r="AF304">
        <v>59</v>
      </c>
      <c r="AG304">
        <v>72</v>
      </c>
      <c r="AH304">
        <v>70</v>
      </c>
      <c r="AI304">
        <v>45</v>
      </c>
      <c r="AJ304">
        <v>65</v>
      </c>
      <c r="AK304">
        <v>66</v>
      </c>
      <c r="AL304">
        <v>0</v>
      </c>
      <c r="AM304">
        <v>-1</v>
      </c>
      <c r="AN304">
        <v>2</v>
      </c>
      <c r="AO304">
        <v>2</v>
      </c>
      <c r="AP304">
        <v>2</v>
      </c>
      <c r="AQ304">
        <v>0</v>
      </c>
      <c r="AR304">
        <f t="shared" si="769"/>
        <v>6</v>
      </c>
      <c r="AS304">
        <f>IF(AND(IFERROR(VLOOKUP(AJ304,Equip!$A:$N,13,FALSE),0)&gt;=5,IFERROR(VLOOKUP(AJ304,Equip!$A:$N,13,FALSE),0)&lt;=9),INT(VLOOKUP(AJ304,Equip!$A:$N,6,FALSE)*SQRT(AN304)),0)</f>
        <v>0</v>
      </c>
      <c r="AT304">
        <f>IF(AND(IFERROR(VLOOKUP(AK304,Equip!$A:$N,13,FALSE),0)&gt;=5,IFERROR(VLOOKUP(AK304,Equip!$A:$N,13,FALSE),0)&lt;=9),INT(VLOOKUP(AK304,Equip!$A:$N,6,FALSE)*SQRT(AO304)),0)</f>
        <v>0</v>
      </c>
      <c r="AU304">
        <f>IF(AND(IFERROR(VLOOKUP(AL304,Equip!$A:$N,13,FALSE),0)&gt;=5,IFERROR(VLOOKUP(AL304,Equip!$A:$N,13,FALSE),0)&lt;=9),INT(VLOOKUP(AL304,Equip!$A:$N,6,FALSE)*SQRT(AP304)),0)</f>
        <v>0</v>
      </c>
      <c r="AV304">
        <f>IF(AND(IFERROR(VLOOKUP(AM304,Equip!$A:$N,13,FALSE),0)&gt;=5,IFERROR(VLOOKUP(AM304,Equip!$A:$N,13,FALSE),0)&lt;=9),INT(VLOOKUP(AM304,Equip!$A:$N,6,FALSE)*SQRT(AQ304)),0)</f>
        <v>0</v>
      </c>
      <c r="AW304">
        <f t="shared" si="770"/>
        <v>0</v>
      </c>
      <c r="AX304">
        <f t="shared" si="771"/>
        <v>428</v>
      </c>
    </row>
    <row r="305" spans="1:51">
      <c r="A305">
        <v>139</v>
      </c>
      <c r="B305" t="s">
        <v>852</v>
      </c>
      <c r="C305" t="s">
        <v>852</v>
      </c>
      <c r="D305">
        <v>1</v>
      </c>
      <c r="E305">
        <f>E304</f>
        <v>1758</v>
      </c>
      <c r="F305">
        <f t="shared" ref="F305" si="927">F304</f>
        <v>979</v>
      </c>
      <c r="G305">
        <f t="shared" ref="G305" si="928">G304</f>
        <v>139</v>
      </c>
      <c r="H305">
        <f t="shared" ref="H305" si="929">H304</f>
        <v>1</v>
      </c>
      <c r="I305">
        <f t="shared" ref="I305" si="930">I304</f>
        <v>1</v>
      </c>
      <c r="J305">
        <f t="shared" ref="J305" si="931">J304</f>
        <v>0</v>
      </c>
      <c r="K305">
        <v>2</v>
      </c>
      <c r="L305">
        <v>2</v>
      </c>
      <c r="M305">
        <v>47</v>
      </c>
      <c r="N305">
        <v>47</v>
      </c>
      <c r="O305">
        <v>39</v>
      </c>
      <c r="P305">
        <v>38</v>
      </c>
      <c r="Q305">
        <v>32</v>
      </c>
      <c r="R305">
        <v>52</v>
      </c>
      <c r="S305">
        <v>30</v>
      </c>
      <c r="T305">
        <v>45</v>
      </c>
      <c r="U305">
        <f t="shared" ref="U305" si="932">U304</f>
        <v>10</v>
      </c>
      <c r="V305">
        <v>29</v>
      </c>
      <c r="W305">
        <f t="shared" ref="W305" si="933">W304</f>
        <v>2</v>
      </c>
      <c r="X305">
        <v>14</v>
      </c>
      <c r="Y305">
        <f t="shared" ref="Y305" si="934">Y304</f>
        <v>0</v>
      </c>
      <c r="Z305">
        <v>30</v>
      </c>
      <c r="AA305">
        <v>40</v>
      </c>
      <c r="AB305">
        <v>70</v>
      </c>
      <c r="AC305">
        <v>79</v>
      </c>
      <c r="AD305">
        <v>74</v>
      </c>
      <c r="AE305">
        <v>69</v>
      </c>
      <c r="AF305">
        <v>69</v>
      </c>
      <c r="AG305">
        <v>84</v>
      </c>
      <c r="AH305">
        <v>82</v>
      </c>
      <c r="AI305">
        <v>59</v>
      </c>
      <c r="AJ305">
        <v>65</v>
      </c>
      <c r="AK305">
        <v>30</v>
      </c>
      <c r="AL305">
        <v>0</v>
      </c>
      <c r="AM305">
        <v>-1</v>
      </c>
      <c r="AN305">
        <v>2</v>
      </c>
      <c r="AO305">
        <v>2</v>
      </c>
      <c r="AP305">
        <v>2</v>
      </c>
      <c r="AQ305">
        <v>0</v>
      </c>
      <c r="AR305">
        <f t="shared" si="769"/>
        <v>6</v>
      </c>
      <c r="AS305">
        <f>IF(AND(IFERROR(VLOOKUP(AJ305,Equip!$A:$N,13,FALSE),0)&gt;=5,IFERROR(VLOOKUP(AJ305,Equip!$A:$N,13,FALSE),0)&lt;=9),INT(VLOOKUP(AJ305,Equip!$A:$N,6,FALSE)*SQRT(AN305)),0)</f>
        <v>0</v>
      </c>
      <c r="AT305">
        <f>IF(AND(IFERROR(VLOOKUP(AK305,Equip!$A:$N,13,FALSE),0)&gt;=5,IFERROR(VLOOKUP(AK305,Equip!$A:$N,13,FALSE),0)&lt;=9),INT(VLOOKUP(AK305,Equip!$A:$N,6,FALSE)*SQRT(AO305)),0)</f>
        <v>0</v>
      </c>
      <c r="AU305">
        <f>IF(AND(IFERROR(VLOOKUP(AL305,Equip!$A:$N,13,FALSE),0)&gt;=5,IFERROR(VLOOKUP(AL305,Equip!$A:$N,13,FALSE),0)&lt;=9),INT(VLOOKUP(AL305,Equip!$A:$N,6,FALSE)*SQRT(AP305)),0)</f>
        <v>0</v>
      </c>
      <c r="AV305">
        <f>IF(AND(IFERROR(VLOOKUP(AM305,Equip!$A:$N,13,FALSE),0)&gt;=5,IFERROR(VLOOKUP(AM305,Equip!$A:$N,13,FALSE),0)&lt;=9),INT(VLOOKUP(AM305,Equip!$A:$N,6,FALSE)*SQRT(AQ305)),0)</f>
        <v>0</v>
      </c>
      <c r="AW305">
        <f t="shared" si="770"/>
        <v>0</v>
      </c>
      <c r="AX305">
        <f t="shared" si="771"/>
        <v>564</v>
      </c>
    </row>
    <row r="306" spans="1:51">
      <c r="A306">
        <v>140</v>
      </c>
      <c r="B306" t="s">
        <v>853</v>
      </c>
      <c r="C306" t="s">
        <v>853</v>
      </c>
      <c r="D306">
        <v>0</v>
      </c>
      <c r="E306">
        <v>1758</v>
      </c>
      <c r="F306">
        <v>979</v>
      </c>
      <c r="G306">
        <v>140</v>
      </c>
      <c r="H306">
        <v>1</v>
      </c>
      <c r="I306">
        <v>1</v>
      </c>
      <c r="J306">
        <v>8</v>
      </c>
      <c r="K306">
        <v>2</v>
      </c>
      <c r="L306">
        <v>2</v>
      </c>
      <c r="M306">
        <v>31</v>
      </c>
      <c r="N306">
        <v>31</v>
      </c>
      <c r="O306">
        <v>19</v>
      </c>
      <c r="P306">
        <v>17</v>
      </c>
      <c r="Q306">
        <v>23</v>
      </c>
      <c r="R306">
        <v>36</v>
      </c>
      <c r="S306">
        <v>17</v>
      </c>
      <c r="T306">
        <v>27</v>
      </c>
      <c r="U306">
        <v>10</v>
      </c>
      <c r="V306">
        <v>12</v>
      </c>
      <c r="W306">
        <v>2</v>
      </c>
      <c r="X306">
        <v>20</v>
      </c>
      <c r="Y306">
        <v>0</v>
      </c>
      <c r="Z306">
        <v>30</v>
      </c>
      <c r="AA306">
        <v>35</v>
      </c>
      <c r="AB306">
        <v>41</v>
      </c>
      <c r="AC306">
        <v>71</v>
      </c>
      <c r="AD306">
        <v>62</v>
      </c>
      <c r="AE306">
        <v>32</v>
      </c>
      <c r="AF306">
        <v>49</v>
      </c>
      <c r="AG306">
        <v>72</v>
      </c>
      <c r="AH306">
        <v>72</v>
      </c>
      <c r="AI306">
        <v>45</v>
      </c>
      <c r="AJ306">
        <v>65</v>
      </c>
      <c r="AK306">
        <v>66</v>
      </c>
      <c r="AL306">
        <v>0</v>
      </c>
      <c r="AM306">
        <v>-1</v>
      </c>
      <c r="AN306">
        <v>2</v>
      </c>
      <c r="AO306">
        <v>2</v>
      </c>
      <c r="AP306">
        <v>2</v>
      </c>
      <c r="AQ306">
        <v>0</v>
      </c>
      <c r="AR306">
        <f t="shared" si="769"/>
        <v>6</v>
      </c>
      <c r="AS306">
        <f>IF(AND(IFERROR(VLOOKUP(AJ306,Equip!$A:$N,13,FALSE),0)&gt;=5,IFERROR(VLOOKUP(AJ306,Equip!$A:$N,13,FALSE),0)&lt;=9),INT(VLOOKUP(AJ306,Equip!$A:$N,6,FALSE)*SQRT(AN306)),0)</f>
        <v>0</v>
      </c>
      <c r="AT306">
        <f>IF(AND(IFERROR(VLOOKUP(AK306,Equip!$A:$N,13,FALSE),0)&gt;=5,IFERROR(VLOOKUP(AK306,Equip!$A:$N,13,FALSE),0)&lt;=9),INT(VLOOKUP(AK306,Equip!$A:$N,6,FALSE)*SQRT(AO306)),0)</f>
        <v>0</v>
      </c>
      <c r="AU306">
        <f>IF(AND(IFERROR(VLOOKUP(AL306,Equip!$A:$N,13,FALSE),0)&gt;=5,IFERROR(VLOOKUP(AL306,Equip!$A:$N,13,FALSE),0)&lt;=9),INT(VLOOKUP(AL306,Equip!$A:$N,6,FALSE)*SQRT(AP306)),0)</f>
        <v>0</v>
      </c>
      <c r="AV306">
        <f>IF(AND(IFERROR(VLOOKUP(AM306,Equip!$A:$N,13,FALSE),0)&gt;=5,IFERROR(VLOOKUP(AM306,Equip!$A:$N,13,FALSE),0)&lt;=9),INT(VLOOKUP(AM306,Equip!$A:$N,6,FALSE)*SQRT(AQ306)),0)</f>
        <v>0</v>
      </c>
      <c r="AW306">
        <f t="shared" si="770"/>
        <v>0</v>
      </c>
      <c r="AX306">
        <f t="shared" si="771"/>
        <v>426</v>
      </c>
    </row>
    <row r="307" spans="1:51">
      <c r="A307">
        <v>140</v>
      </c>
      <c r="B307" t="s">
        <v>853</v>
      </c>
      <c r="C307" t="s">
        <v>853</v>
      </c>
      <c r="D307">
        <v>1</v>
      </c>
      <c r="E307">
        <f>E306</f>
        <v>1758</v>
      </c>
      <c r="F307">
        <f t="shared" ref="F307" si="935">F306</f>
        <v>979</v>
      </c>
      <c r="G307">
        <f t="shared" ref="G307" si="936">G306</f>
        <v>140</v>
      </c>
      <c r="H307">
        <f t="shared" ref="H307" si="937">H306</f>
        <v>1</v>
      </c>
      <c r="I307">
        <f t="shared" ref="I307" si="938">I306</f>
        <v>1</v>
      </c>
      <c r="J307">
        <f t="shared" ref="J307" si="939">J306</f>
        <v>8</v>
      </c>
      <c r="K307">
        <v>2</v>
      </c>
      <c r="L307">
        <v>2</v>
      </c>
      <c r="M307">
        <v>46</v>
      </c>
      <c r="N307">
        <v>46</v>
      </c>
      <c r="O307">
        <v>32</v>
      </c>
      <c r="P307">
        <v>42</v>
      </c>
      <c r="Q307">
        <v>39</v>
      </c>
      <c r="R307">
        <v>54</v>
      </c>
      <c r="S307">
        <v>35</v>
      </c>
      <c r="T307">
        <v>49</v>
      </c>
      <c r="U307">
        <f t="shared" ref="U307" si="940">U306</f>
        <v>10</v>
      </c>
      <c r="V307">
        <v>29</v>
      </c>
      <c r="W307">
        <f t="shared" ref="W307" si="941">W306</f>
        <v>2</v>
      </c>
      <c r="X307">
        <v>35</v>
      </c>
      <c r="Y307">
        <f t="shared" ref="Y307" si="942">Y306</f>
        <v>0</v>
      </c>
      <c r="Z307">
        <v>30</v>
      </c>
      <c r="AA307">
        <v>40</v>
      </c>
      <c r="AB307">
        <v>65</v>
      </c>
      <c r="AC307">
        <v>78</v>
      </c>
      <c r="AD307">
        <v>73</v>
      </c>
      <c r="AE307">
        <v>69</v>
      </c>
      <c r="AF307">
        <v>74</v>
      </c>
      <c r="AG307">
        <v>80</v>
      </c>
      <c r="AH307">
        <v>84</v>
      </c>
      <c r="AI307">
        <v>59</v>
      </c>
      <c r="AJ307">
        <v>0</v>
      </c>
      <c r="AK307">
        <v>0</v>
      </c>
      <c r="AL307">
        <v>0</v>
      </c>
      <c r="AM307">
        <v>-1</v>
      </c>
      <c r="AN307">
        <v>2</v>
      </c>
      <c r="AO307">
        <v>2</v>
      </c>
      <c r="AP307">
        <v>2</v>
      </c>
      <c r="AQ307">
        <v>0</v>
      </c>
      <c r="AR307">
        <f t="shared" si="769"/>
        <v>6</v>
      </c>
      <c r="AS307">
        <f>IF(AND(IFERROR(VLOOKUP(AJ307,Equip!$A:$N,13,FALSE),0)&gt;=5,IFERROR(VLOOKUP(AJ307,Equip!$A:$N,13,FALSE),0)&lt;=9),INT(VLOOKUP(AJ307,Equip!$A:$N,6,FALSE)*SQRT(AN307)),0)</f>
        <v>0</v>
      </c>
      <c r="AT307">
        <f>IF(AND(IFERROR(VLOOKUP(AK307,Equip!$A:$N,13,FALSE),0)&gt;=5,IFERROR(VLOOKUP(AK307,Equip!$A:$N,13,FALSE),0)&lt;=9),INT(VLOOKUP(AK307,Equip!$A:$N,6,FALSE)*SQRT(AO307)),0)</f>
        <v>0</v>
      </c>
      <c r="AU307">
        <f>IF(AND(IFERROR(VLOOKUP(AL307,Equip!$A:$N,13,FALSE),0)&gt;=5,IFERROR(VLOOKUP(AL307,Equip!$A:$N,13,FALSE),0)&lt;=9),INT(VLOOKUP(AL307,Equip!$A:$N,6,FALSE)*SQRT(AP307)),0)</f>
        <v>0</v>
      </c>
      <c r="AV307">
        <f>IF(AND(IFERROR(VLOOKUP(AM307,Equip!$A:$N,13,FALSE),0)&gt;=5,IFERROR(VLOOKUP(AM307,Equip!$A:$N,13,FALSE),0)&lt;=9),INT(VLOOKUP(AM307,Equip!$A:$N,6,FALSE)*SQRT(AQ307)),0)</f>
        <v>0</v>
      </c>
      <c r="AW307">
        <f t="shared" si="770"/>
        <v>0</v>
      </c>
      <c r="AX307">
        <f t="shared" si="771"/>
        <v>554</v>
      </c>
    </row>
    <row r="308" spans="1:51">
      <c r="A308">
        <v>143</v>
      </c>
      <c r="B308" t="s">
        <v>854</v>
      </c>
      <c r="C308" t="s">
        <v>854</v>
      </c>
      <c r="D308">
        <v>0</v>
      </c>
      <c r="E308">
        <v>2914</v>
      </c>
      <c r="F308">
        <v>1557</v>
      </c>
      <c r="G308">
        <v>143</v>
      </c>
      <c r="H308">
        <v>3</v>
      </c>
      <c r="I308">
        <v>1</v>
      </c>
      <c r="J308">
        <v>2</v>
      </c>
      <c r="K308">
        <v>8</v>
      </c>
      <c r="L308">
        <v>0</v>
      </c>
      <c r="M308">
        <v>94</v>
      </c>
      <c r="N308">
        <v>94</v>
      </c>
      <c r="O308">
        <v>96</v>
      </c>
      <c r="P308">
        <v>88</v>
      </c>
      <c r="Q308">
        <v>0</v>
      </c>
      <c r="R308">
        <v>27</v>
      </c>
      <c r="S308">
        <v>50</v>
      </c>
      <c r="T308">
        <v>0</v>
      </c>
      <c r="U308">
        <v>8</v>
      </c>
      <c r="V308">
        <v>16</v>
      </c>
      <c r="W308">
        <v>4</v>
      </c>
      <c r="X308">
        <v>10</v>
      </c>
      <c r="Y308">
        <v>0</v>
      </c>
      <c r="Z308">
        <v>250</v>
      </c>
      <c r="AA308">
        <v>300</v>
      </c>
      <c r="AB308">
        <v>129</v>
      </c>
      <c r="AC308">
        <v>0</v>
      </c>
      <c r="AD308">
        <v>94</v>
      </c>
      <c r="AE308">
        <v>108</v>
      </c>
      <c r="AF308">
        <v>79</v>
      </c>
      <c r="AG308">
        <v>59</v>
      </c>
      <c r="AH308">
        <v>0</v>
      </c>
      <c r="AI308">
        <v>40</v>
      </c>
      <c r="AJ308">
        <v>9</v>
      </c>
      <c r="AK308">
        <v>12</v>
      </c>
      <c r="AL308">
        <v>25</v>
      </c>
      <c r="AM308">
        <v>0</v>
      </c>
      <c r="AN308">
        <v>7</v>
      </c>
      <c r="AO308">
        <v>7</v>
      </c>
      <c r="AP308">
        <v>7</v>
      </c>
      <c r="AQ308">
        <v>7</v>
      </c>
      <c r="AR308">
        <f t="shared" si="769"/>
        <v>28</v>
      </c>
      <c r="AS308">
        <f>IF(AND(IFERROR(VLOOKUP(AJ308,Equip!$A:$N,13,FALSE),0)&gt;=5,IFERROR(VLOOKUP(AJ308,Equip!$A:$N,13,FALSE),0)&lt;=9),INT(VLOOKUP(AJ308,Equip!$A:$N,6,FALSE)*SQRT(AN308)),0)</f>
        <v>0</v>
      </c>
      <c r="AT308">
        <f>IF(AND(IFERROR(VLOOKUP(AK308,Equip!$A:$N,13,FALSE),0)&gt;=5,IFERROR(VLOOKUP(AK308,Equip!$A:$N,13,FALSE),0)&lt;=9),INT(VLOOKUP(AK308,Equip!$A:$N,6,FALSE)*SQRT(AO308)),0)</f>
        <v>0</v>
      </c>
      <c r="AU308">
        <f>IF(AND(IFERROR(VLOOKUP(AL308,Equip!$A:$N,13,FALSE),0)&gt;=5,IFERROR(VLOOKUP(AL308,Equip!$A:$N,13,FALSE),0)&lt;=9),INT(VLOOKUP(AL308,Equip!$A:$N,6,FALSE)*SQRT(AP308)),0)</f>
        <v>0</v>
      </c>
      <c r="AV308">
        <f>IF(AND(IFERROR(VLOOKUP(AM308,Equip!$A:$N,13,FALSE),0)&gt;=5,IFERROR(VLOOKUP(AM308,Equip!$A:$N,13,FALSE),0)&lt;=9),INT(VLOOKUP(AM308,Equip!$A:$N,6,FALSE)*SQRT(AQ308)),0)</f>
        <v>0</v>
      </c>
      <c r="AW308">
        <f t="shared" si="770"/>
        <v>0</v>
      </c>
      <c r="AX308">
        <f t="shared" si="771"/>
        <v>524</v>
      </c>
    </row>
    <row r="309" spans="1:51">
      <c r="A309">
        <v>143</v>
      </c>
      <c r="B309" t="s">
        <v>854</v>
      </c>
      <c r="C309" t="s">
        <v>854</v>
      </c>
      <c r="D309">
        <v>1</v>
      </c>
      <c r="E309">
        <f>E308</f>
        <v>2914</v>
      </c>
      <c r="F309">
        <f t="shared" ref="F309" si="943">F308</f>
        <v>1557</v>
      </c>
      <c r="G309">
        <f t="shared" ref="G309" si="944">G308</f>
        <v>143</v>
      </c>
      <c r="H309">
        <f t="shared" ref="H309" si="945">H308</f>
        <v>3</v>
      </c>
      <c r="I309">
        <f t="shared" ref="I309" si="946">I308</f>
        <v>1</v>
      </c>
      <c r="J309">
        <f t="shared" ref="J309" si="947">J308</f>
        <v>2</v>
      </c>
      <c r="K309">
        <v>8</v>
      </c>
      <c r="L309">
        <v>0</v>
      </c>
      <c r="M309">
        <v>97</v>
      </c>
      <c r="N309">
        <v>97</v>
      </c>
      <c r="O309">
        <v>92</v>
      </c>
      <c r="P309">
        <v>92</v>
      </c>
      <c r="Q309">
        <v>0</v>
      </c>
      <c r="R309">
        <v>49</v>
      </c>
      <c r="S309">
        <v>60</v>
      </c>
      <c r="T309">
        <v>0</v>
      </c>
      <c r="U309">
        <f t="shared" ref="U309" si="948">U308</f>
        <v>8</v>
      </c>
      <c r="V309">
        <v>18</v>
      </c>
      <c r="W309">
        <f t="shared" ref="W309" si="949">W308</f>
        <v>4</v>
      </c>
      <c r="X309">
        <v>9</v>
      </c>
      <c r="Y309">
        <f t="shared" ref="Y309" si="950">Y308</f>
        <v>0</v>
      </c>
      <c r="Z309">
        <v>250</v>
      </c>
      <c r="AA309">
        <v>325</v>
      </c>
      <c r="AB309">
        <v>139</v>
      </c>
      <c r="AC309">
        <v>0</v>
      </c>
      <c r="AD309">
        <v>99</v>
      </c>
      <c r="AE309">
        <v>119</v>
      </c>
      <c r="AF309">
        <v>79</v>
      </c>
      <c r="AG309">
        <v>63</v>
      </c>
      <c r="AH309">
        <v>0</v>
      </c>
      <c r="AI309">
        <v>40</v>
      </c>
      <c r="AJ309">
        <v>9</v>
      </c>
      <c r="AK309">
        <v>40</v>
      </c>
      <c r="AL309">
        <v>28</v>
      </c>
      <c r="AM309">
        <v>0</v>
      </c>
      <c r="AN309">
        <v>7</v>
      </c>
      <c r="AO309">
        <v>7</v>
      </c>
      <c r="AP309">
        <v>7</v>
      </c>
      <c r="AQ309">
        <v>7</v>
      </c>
      <c r="AR309">
        <f t="shared" si="769"/>
        <v>28</v>
      </c>
      <c r="AS309">
        <f>IF(AND(IFERROR(VLOOKUP(AJ309,Equip!$A:$N,13,FALSE),0)&gt;=5,IFERROR(VLOOKUP(AJ309,Equip!$A:$N,13,FALSE),0)&lt;=9),INT(VLOOKUP(AJ309,Equip!$A:$N,6,FALSE)*SQRT(AN309)),0)</f>
        <v>0</v>
      </c>
      <c r="AT309">
        <f>IF(AND(IFERROR(VLOOKUP(AK309,Equip!$A:$N,13,FALSE),0)&gt;=5,IFERROR(VLOOKUP(AK309,Equip!$A:$N,13,FALSE),0)&lt;=9),INT(VLOOKUP(AK309,Equip!$A:$N,6,FALSE)*SQRT(AO309)),0)</f>
        <v>0</v>
      </c>
      <c r="AU309">
        <f>IF(AND(IFERROR(VLOOKUP(AL309,Equip!$A:$N,13,FALSE),0)&gt;=5,IFERROR(VLOOKUP(AL309,Equip!$A:$N,13,FALSE),0)&lt;=9),INT(VLOOKUP(AL309,Equip!$A:$N,6,FALSE)*SQRT(AP309)),0)</f>
        <v>0</v>
      </c>
      <c r="AV309">
        <f>IF(AND(IFERROR(VLOOKUP(AM309,Equip!$A:$N,13,FALSE),0)&gt;=5,IFERROR(VLOOKUP(AM309,Equip!$A:$N,13,FALSE),0)&lt;=9),INT(VLOOKUP(AM309,Equip!$A:$N,6,FALSE)*SQRT(AQ309)),0)</f>
        <v>0</v>
      </c>
      <c r="AW309">
        <f t="shared" si="770"/>
        <v>0</v>
      </c>
      <c r="AX309">
        <f t="shared" si="771"/>
        <v>557</v>
      </c>
    </row>
    <row r="310" spans="1:51">
      <c r="A310">
        <v>153</v>
      </c>
      <c r="B310" t="s">
        <v>855</v>
      </c>
      <c r="C310" t="s">
        <v>855</v>
      </c>
      <c r="D310">
        <v>0</v>
      </c>
      <c r="E310">
        <v>2491</v>
      </c>
      <c r="F310">
        <v>1345</v>
      </c>
      <c r="G310">
        <v>153</v>
      </c>
      <c r="H310">
        <v>0</v>
      </c>
      <c r="I310">
        <v>1</v>
      </c>
      <c r="J310">
        <v>7</v>
      </c>
      <c r="K310">
        <v>11</v>
      </c>
      <c r="L310">
        <v>4</v>
      </c>
      <c r="M310">
        <v>67</v>
      </c>
      <c r="N310">
        <v>67</v>
      </c>
      <c r="O310">
        <v>0</v>
      </c>
      <c r="P310">
        <v>40</v>
      </c>
      <c r="Q310">
        <v>0</v>
      </c>
      <c r="R310">
        <v>33</v>
      </c>
      <c r="S310">
        <v>42</v>
      </c>
      <c r="T310">
        <v>0</v>
      </c>
      <c r="U310">
        <v>10</v>
      </c>
      <c r="V310">
        <v>47</v>
      </c>
      <c r="W310">
        <v>1</v>
      </c>
      <c r="X310">
        <v>2</v>
      </c>
      <c r="Y310">
        <v>0</v>
      </c>
      <c r="Z310">
        <v>70</v>
      </c>
      <c r="AA310">
        <v>65</v>
      </c>
      <c r="AB310">
        <v>49</v>
      </c>
      <c r="AC310">
        <v>0</v>
      </c>
      <c r="AD310">
        <v>79</v>
      </c>
      <c r="AE310">
        <v>79</v>
      </c>
      <c r="AF310">
        <v>29</v>
      </c>
      <c r="AG310">
        <v>57</v>
      </c>
      <c r="AH310">
        <v>0</v>
      </c>
      <c r="AI310">
        <v>74</v>
      </c>
      <c r="AJ310">
        <v>60</v>
      </c>
      <c r="AK310">
        <v>24</v>
      </c>
      <c r="AL310">
        <v>17</v>
      </c>
      <c r="AM310">
        <v>0</v>
      </c>
      <c r="AN310">
        <v>18</v>
      </c>
      <c r="AO310">
        <v>18</v>
      </c>
      <c r="AP310">
        <v>18</v>
      </c>
      <c r="AQ310">
        <v>7</v>
      </c>
      <c r="AR310">
        <f t="shared" si="769"/>
        <v>61</v>
      </c>
      <c r="AS310">
        <f>IF(AND(IFERROR(VLOOKUP(AJ310,Equip!$A:$N,13,FALSE),0)&gt;=5,IFERROR(VLOOKUP(AJ310,Equip!$A:$N,13,FALSE),0)&lt;=9),INT(VLOOKUP(AJ310,Equip!$A:$N,6,FALSE)*SQRT(AN310)),0)</f>
        <v>0</v>
      </c>
      <c r="AT310">
        <f>IF(AND(IFERROR(VLOOKUP(AK310,Equip!$A:$N,13,FALSE),0)&gt;=5,IFERROR(VLOOKUP(AK310,Equip!$A:$N,13,FALSE),0)&lt;=9),INT(VLOOKUP(AK310,Equip!$A:$N,6,FALSE)*SQRT(AO310)),0)</f>
        <v>0</v>
      </c>
      <c r="AU310">
        <f>IF(AND(IFERROR(VLOOKUP(AL310,Equip!$A:$N,13,FALSE),0)&gt;=5,IFERROR(VLOOKUP(AL310,Equip!$A:$N,13,FALSE),0)&lt;=9),INT(VLOOKUP(AL310,Equip!$A:$N,6,FALSE)*SQRT(AP310)),0)</f>
        <v>0</v>
      </c>
      <c r="AV310">
        <f>IF(AND(IFERROR(VLOOKUP(AM310,Equip!$A:$N,13,FALSE),0)&gt;=5,IFERROR(VLOOKUP(AM310,Equip!$A:$N,13,FALSE),0)&lt;=9),INT(VLOOKUP(AM310,Equip!$A:$N,6,FALSE)*SQRT(AQ310)),0)</f>
        <v>0</v>
      </c>
      <c r="AW310">
        <f t="shared" si="770"/>
        <v>0</v>
      </c>
      <c r="AX310">
        <f t="shared" si="771"/>
        <v>405</v>
      </c>
    </row>
    <row r="311" spans="1:51">
      <c r="A311">
        <v>153</v>
      </c>
      <c r="B311" t="s">
        <v>855</v>
      </c>
      <c r="C311" t="s">
        <v>855</v>
      </c>
      <c r="D311">
        <v>1</v>
      </c>
      <c r="E311">
        <f>E310</f>
        <v>2491</v>
      </c>
      <c r="F311">
        <f t="shared" ref="F311" si="951">F310</f>
        <v>1345</v>
      </c>
      <c r="G311">
        <f t="shared" ref="G311" si="952">G310</f>
        <v>153</v>
      </c>
      <c r="H311">
        <f t="shared" ref="H311" si="953">H310</f>
        <v>0</v>
      </c>
      <c r="I311">
        <f t="shared" ref="I311" si="954">I310</f>
        <v>1</v>
      </c>
      <c r="J311">
        <f t="shared" ref="J311" si="955">J310</f>
        <v>7</v>
      </c>
      <c r="K311">
        <v>11</v>
      </c>
      <c r="L311">
        <v>4</v>
      </c>
      <c r="M311">
        <v>70</v>
      </c>
      <c r="N311">
        <v>70</v>
      </c>
      <c r="O311">
        <v>0</v>
      </c>
      <c r="P311">
        <v>44</v>
      </c>
      <c r="Q311">
        <v>0</v>
      </c>
      <c r="R311">
        <v>34</v>
      </c>
      <c r="S311">
        <v>45</v>
      </c>
      <c r="T311">
        <v>0</v>
      </c>
      <c r="U311">
        <f t="shared" ref="U311" si="956">U310</f>
        <v>10</v>
      </c>
      <c r="V311">
        <v>50</v>
      </c>
      <c r="W311">
        <f t="shared" ref="W311" si="957">W310</f>
        <v>1</v>
      </c>
      <c r="X311">
        <v>4</v>
      </c>
      <c r="Y311">
        <f t="shared" ref="Y311" si="958">Y310</f>
        <v>0</v>
      </c>
      <c r="Z311">
        <v>90</v>
      </c>
      <c r="AA311">
        <v>75</v>
      </c>
      <c r="AB311">
        <v>59</v>
      </c>
      <c r="AC311">
        <v>0</v>
      </c>
      <c r="AD311">
        <v>86</v>
      </c>
      <c r="AE311">
        <v>84</v>
      </c>
      <c r="AF311">
        <v>39</v>
      </c>
      <c r="AG311">
        <v>59</v>
      </c>
      <c r="AH311">
        <v>0</v>
      </c>
      <c r="AI311">
        <v>77</v>
      </c>
      <c r="AJ311">
        <v>22</v>
      </c>
      <c r="AK311">
        <v>18</v>
      </c>
      <c r="AL311">
        <v>71</v>
      </c>
      <c r="AM311">
        <v>0</v>
      </c>
      <c r="AN311">
        <v>30</v>
      </c>
      <c r="AO311">
        <v>24</v>
      </c>
      <c r="AP311">
        <v>24</v>
      </c>
      <c r="AQ311">
        <v>8</v>
      </c>
      <c r="AR311">
        <f t="shared" si="769"/>
        <v>86</v>
      </c>
      <c r="AS311">
        <f>IF(AND(IFERROR(VLOOKUP(AJ311,Equip!$A:$N,13,FALSE),0)&gt;=5,IFERROR(VLOOKUP(AJ311,Equip!$A:$N,13,FALSE),0)&lt;=9),INT(VLOOKUP(AJ311,Equip!$A:$N,6,FALSE)*SQRT(AN311)),0)</f>
        <v>0</v>
      </c>
      <c r="AT311">
        <f>IF(AND(IFERROR(VLOOKUP(AK311,Equip!$A:$N,13,FALSE),0)&gt;=5,IFERROR(VLOOKUP(AK311,Equip!$A:$N,13,FALSE),0)&lt;=9),INT(VLOOKUP(AK311,Equip!$A:$N,6,FALSE)*SQRT(AO311)),0)</f>
        <v>0</v>
      </c>
      <c r="AU311">
        <f>IF(AND(IFERROR(VLOOKUP(AL311,Equip!$A:$N,13,FALSE),0)&gt;=5,IFERROR(VLOOKUP(AL311,Equip!$A:$N,13,FALSE),0)&lt;=9),INT(VLOOKUP(AL311,Equip!$A:$N,6,FALSE)*SQRT(AP311)),0)</f>
        <v>0</v>
      </c>
      <c r="AV311">
        <f>IF(AND(IFERROR(VLOOKUP(AM311,Equip!$A:$N,13,FALSE),0)&gt;=5,IFERROR(VLOOKUP(AM311,Equip!$A:$N,13,FALSE),0)&lt;=9),INT(VLOOKUP(AM311,Equip!$A:$N,6,FALSE)*SQRT(AQ311)),0)</f>
        <v>0</v>
      </c>
      <c r="AW311">
        <f t="shared" si="770"/>
        <v>0</v>
      </c>
      <c r="AX311">
        <f t="shared" si="771"/>
        <v>435</v>
      </c>
    </row>
    <row r="312" spans="1:51">
      <c r="A312">
        <v>154</v>
      </c>
      <c r="B312" t="s">
        <v>856</v>
      </c>
      <c r="C312" t="s">
        <v>856</v>
      </c>
      <c r="D312">
        <v>0</v>
      </c>
      <c r="E312">
        <v>1880</v>
      </c>
      <c r="F312">
        <v>1040</v>
      </c>
      <c r="G312">
        <v>154</v>
      </c>
      <c r="H312">
        <v>2</v>
      </c>
      <c r="I312">
        <v>1</v>
      </c>
      <c r="J312">
        <v>12</v>
      </c>
      <c r="K312">
        <v>6</v>
      </c>
      <c r="L312">
        <v>2</v>
      </c>
      <c r="M312">
        <v>36</v>
      </c>
      <c r="N312">
        <v>36</v>
      </c>
      <c r="O312">
        <v>14</v>
      </c>
      <c r="P312">
        <v>9</v>
      </c>
      <c r="Q312">
        <v>12</v>
      </c>
      <c r="R312">
        <v>24</v>
      </c>
      <c r="S312">
        <v>14</v>
      </c>
      <c r="T312">
        <v>12</v>
      </c>
      <c r="U312">
        <v>5</v>
      </c>
      <c r="V312">
        <v>10</v>
      </c>
      <c r="W312">
        <v>2</v>
      </c>
      <c r="X312">
        <v>10</v>
      </c>
      <c r="Y312">
        <v>0</v>
      </c>
      <c r="Z312">
        <v>30</v>
      </c>
      <c r="AA312">
        <v>15</v>
      </c>
      <c r="AB312">
        <v>28</v>
      </c>
      <c r="AC312">
        <v>28</v>
      </c>
      <c r="AD312">
        <v>42</v>
      </c>
      <c r="AE312">
        <v>27</v>
      </c>
      <c r="AF312">
        <v>49</v>
      </c>
      <c r="AG312">
        <v>49</v>
      </c>
      <c r="AH312">
        <v>42</v>
      </c>
      <c r="AI312">
        <v>38</v>
      </c>
      <c r="AJ312">
        <v>119</v>
      </c>
      <c r="AK312">
        <v>10</v>
      </c>
      <c r="AL312">
        <v>39</v>
      </c>
      <c r="AM312">
        <v>-1</v>
      </c>
      <c r="AN312">
        <v>1</v>
      </c>
      <c r="AO312">
        <v>1</v>
      </c>
      <c r="AP312">
        <v>1</v>
      </c>
      <c r="AQ312">
        <v>0</v>
      </c>
      <c r="AR312">
        <f t="shared" si="769"/>
        <v>3</v>
      </c>
      <c r="AS312">
        <f>IF(AND(IFERROR(VLOOKUP(AJ312,Equip!$A:$N,13,FALSE),0)&gt;=5,IFERROR(VLOOKUP(AJ312,Equip!$A:$N,13,FALSE),0)&lt;=9),INT(VLOOKUP(AJ312,Equip!$A:$N,6,FALSE)*SQRT(AN312)),0)</f>
        <v>0</v>
      </c>
      <c r="AT312">
        <f>IF(AND(IFERROR(VLOOKUP(AK312,Equip!$A:$N,13,FALSE),0)&gt;=5,IFERROR(VLOOKUP(AK312,Equip!$A:$N,13,FALSE),0)&lt;=9),INT(VLOOKUP(AK312,Equip!$A:$N,6,FALSE)*SQRT(AO312)),0)</f>
        <v>0</v>
      </c>
      <c r="AU312">
        <f>IF(AND(IFERROR(VLOOKUP(AL312,Equip!$A:$N,13,FALSE),0)&gt;=5,IFERROR(VLOOKUP(AL312,Equip!$A:$N,13,FALSE),0)&lt;=9),INT(VLOOKUP(AL312,Equip!$A:$N,6,FALSE)*SQRT(AP312)),0)</f>
        <v>0</v>
      </c>
      <c r="AV312">
        <f>IF(AND(IFERROR(VLOOKUP(AM312,Equip!$A:$N,13,FALSE),0)&gt;=5,IFERROR(VLOOKUP(AM312,Equip!$A:$N,13,FALSE),0)&lt;=9),INT(VLOOKUP(AM312,Equip!$A:$N,6,FALSE)*SQRT(AQ312)),0)</f>
        <v>0</v>
      </c>
      <c r="AW312">
        <f t="shared" si="770"/>
        <v>0</v>
      </c>
      <c r="AX312">
        <f t="shared" si="771"/>
        <v>290</v>
      </c>
    </row>
    <row r="313" spans="1:51">
      <c r="A313">
        <v>154</v>
      </c>
      <c r="B313" t="s">
        <v>856</v>
      </c>
      <c r="C313" t="s">
        <v>856</v>
      </c>
      <c r="D313">
        <v>1</v>
      </c>
      <c r="E313">
        <f>E312</f>
        <v>1880</v>
      </c>
      <c r="F313">
        <f t="shared" ref="F313" si="959">F312</f>
        <v>1040</v>
      </c>
      <c r="G313">
        <f t="shared" ref="G313" si="960">G312</f>
        <v>154</v>
      </c>
      <c r="H313">
        <f t="shared" ref="H313" si="961">H312</f>
        <v>2</v>
      </c>
      <c r="I313">
        <f t="shared" ref="I313" si="962">I312</f>
        <v>1</v>
      </c>
      <c r="J313">
        <f t="shared" ref="J313" si="963">J312</f>
        <v>12</v>
      </c>
      <c r="K313">
        <v>6</v>
      </c>
      <c r="L313">
        <v>2</v>
      </c>
      <c r="M313">
        <v>40</v>
      </c>
      <c r="N313">
        <v>40</v>
      </c>
      <c r="O313">
        <v>22</v>
      </c>
      <c r="P313">
        <v>19</v>
      </c>
      <c r="Q313">
        <v>18</v>
      </c>
      <c r="R313">
        <v>35</v>
      </c>
      <c r="S313">
        <v>28</v>
      </c>
      <c r="T313">
        <v>36</v>
      </c>
      <c r="U313">
        <f t="shared" ref="U313" si="964">U312</f>
        <v>5</v>
      </c>
      <c r="V313">
        <v>24</v>
      </c>
      <c r="W313">
        <f t="shared" ref="W313" si="965">W312</f>
        <v>2</v>
      </c>
      <c r="X313">
        <v>12</v>
      </c>
      <c r="Y313">
        <f t="shared" ref="Y313" si="966">Y312</f>
        <v>0</v>
      </c>
      <c r="Z313">
        <v>35</v>
      </c>
      <c r="AA313">
        <v>20</v>
      </c>
      <c r="AB313">
        <v>36</v>
      </c>
      <c r="AC313">
        <v>40</v>
      </c>
      <c r="AD313">
        <v>48</v>
      </c>
      <c r="AE313">
        <v>39</v>
      </c>
      <c r="AF313">
        <v>54</v>
      </c>
      <c r="AG313">
        <v>52</v>
      </c>
      <c r="AH313">
        <v>62</v>
      </c>
      <c r="AI313">
        <v>48</v>
      </c>
      <c r="AJ313">
        <v>119</v>
      </c>
      <c r="AK313">
        <v>39</v>
      </c>
      <c r="AL313">
        <v>46</v>
      </c>
      <c r="AM313">
        <v>44</v>
      </c>
      <c r="AN313">
        <v>2</v>
      </c>
      <c r="AO313">
        <v>2</v>
      </c>
      <c r="AP313">
        <v>2</v>
      </c>
      <c r="AQ313">
        <v>2</v>
      </c>
      <c r="AR313">
        <f t="shared" si="769"/>
        <v>8</v>
      </c>
      <c r="AS313">
        <f>IF(AND(IFERROR(VLOOKUP(AJ313,Equip!$A:$N,13,FALSE),0)&gt;=5,IFERROR(VLOOKUP(AJ313,Equip!$A:$N,13,FALSE),0)&lt;=9),INT(VLOOKUP(AJ313,Equip!$A:$N,6,FALSE)*SQRT(AN313)),0)</f>
        <v>0</v>
      </c>
      <c r="AT313">
        <f>IF(AND(IFERROR(VLOOKUP(AK313,Equip!$A:$N,13,FALSE),0)&gt;=5,IFERROR(VLOOKUP(AK313,Equip!$A:$N,13,FALSE),0)&lt;=9),INT(VLOOKUP(AK313,Equip!$A:$N,6,FALSE)*SQRT(AO313)),0)</f>
        <v>0</v>
      </c>
      <c r="AU313">
        <f>IF(AND(IFERROR(VLOOKUP(AL313,Equip!$A:$N,13,FALSE),0)&gt;=5,IFERROR(VLOOKUP(AL313,Equip!$A:$N,13,FALSE),0)&lt;=9),INT(VLOOKUP(AL313,Equip!$A:$N,6,FALSE)*SQRT(AP313)),0)</f>
        <v>0</v>
      </c>
      <c r="AV313">
        <f>IF(AND(IFERROR(VLOOKUP(AM313,Equip!$A:$N,13,FALSE),0)&gt;=5,IFERROR(VLOOKUP(AM313,Equip!$A:$N,13,FALSE),0)&lt;=9),INT(VLOOKUP(AM313,Equip!$A:$N,6,FALSE)*SQRT(AQ313)),0)</f>
        <v>0</v>
      </c>
      <c r="AW313">
        <f t="shared" si="770"/>
        <v>0</v>
      </c>
      <c r="AX313">
        <f t="shared" si="771"/>
        <v>365</v>
      </c>
    </row>
    <row r="314" spans="1:51">
      <c r="A314">
        <v>155</v>
      </c>
      <c r="B314" t="s">
        <v>857</v>
      </c>
      <c r="C314" t="s">
        <v>857</v>
      </c>
      <c r="D314">
        <v>0</v>
      </c>
      <c r="E314">
        <v>1452</v>
      </c>
      <c r="F314">
        <v>826</v>
      </c>
      <c r="G314">
        <v>155</v>
      </c>
      <c r="H314">
        <v>1</v>
      </c>
      <c r="I314">
        <v>1</v>
      </c>
      <c r="J314">
        <v>7</v>
      </c>
      <c r="K314">
        <v>13</v>
      </c>
      <c r="L314">
        <v>1</v>
      </c>
      <c r="M314">
        <v>20</v>
      </c>
      <c r="N314">
        <v>20</v>
      </c>
      <c r="O314">
        <v>2</v>
      </c>
      <c r="P314">
        <v>5</v>
      </c>
      <c r="Q314">
        <v>36</v>
      </c>
      <c r="R314">
        <v>13</v>
      </c>
      <c r="S314">
        <v>0</v>
      </c>
      <c r="T314">
        <v>0</v>
      </c>
      <c r="U314">
        <v>5</v>
      </c>
      <c r="V314">
        <v>15</v>
      </c>
      <c r="W314">
        <v>1</v>
      </c>
      <c r="X314">
        <v>20</v>
      </c>
      <c r="Y314">
        <v>0</v>
      </c>
      <c r="Z314">
        <v>20</v>
      </c>
      <c r="AA314">
        <v>15</v>
      </c>
      <c r="AB314">
        <v>9</v>
      </c>
      <c r="AC314">
        <v>72</v>
      </c>
      <c r="AD314">
        <v>0</v>
      </c>
      <c r="AE314">
        <v>24</v>
      </c>
      <c r="AF314">
        <v>59</v>
      </c>
      <c r="AG314">
        <v>35</v>
      </c>
      <c r="AH314">
        <v>0</v>
      </c>
      <c r="AI314">
        <v>45</v>
      </c>
      <c r="AJ314">
        <v>0</v>
      </c>
      <c r="AK314">
        <v>-1</v>
      </c>
      <c r="AL314">
        <v>-1</v>
      </c>
      <c r="AM314">
        <v>-1</v>
      </c>
      <c r="AN314">
        <v>3</v>
      </c>
      <c r="AO314">
        <v>0</v>
      </c>
      <c r="AP314">
        <v>0</v>
      </c>
      <c r="AQ314">
        <v>0</v>
      </c>
      <c r="AR314">
        <f t="shared" si="769"/>
        <v>3</v>
      </c>
      <c r="AS314">
        <f>IF(AND(IFERROR(VLOOKUP(AJ314,Equip!$A:$N,13,FALSE),0)&gt;=5,IFERROR(VLOOKUP(AJ314,Equip!$A:$N,13,FALSE),0)&lt;=9),INT(VLOOKUP(AJ314,Equip!$A:$N,6,FALSE)*SQRT(AN314)),0)</f>
        <v>0</v>
      </c>
      <c r="AT314">
        <f>IF(AND(IFERROR(VLOOKUP(AK314,Equip!$A:$N,13,FALSE),0)&gt;=5,IFERROR(VLOOKUP(AK314,Equip!$A:$N,13,FALSE),0)&lt;=9),INT(VLOOKUP(AK314,Equip!$A:$N,6,FALSE)*SQRT(AO314)),0)</f>
        <v>0</v>
      </c>
      <c r="AU314">
        <f>IF(AND(IFERROR(VLOOKUP(AL314,Equip!$A:$N,13,FALSE),0)&gt;=5,IFERROR(VLOOKUP(AL314,Equip!$A:$N,13,FALSE),0)&lt;=9),INT(VLOOKUP(AL314,Equip!$A:$N,6,FALSE)*SQRT(AP314)),0)</f>
        <v>0</v>
      </c>
      <c r="AV314">
        <f>IF(AND(IFERROR(VLOOKUP(AM314,Equip!$A:$N,13,FALSE),0)&gt;=5,IFERROR(VLOOKUP(AM314,Equip!$A:$N,13,FALSE),0)&lt;=9),INT(VLOOKUP(AM314,Equip!$A:$N,6,FALSE)*SQRT(AQ314)),0)</f>
        <v>0</v>
      </c>
      <c r="AW314">
        <f t="shared" si="770"/>
        <v>0</v>
      </c>
      <c r="AX314">
        <f t="shared" si="771"/>
        <v>205</v>
      </c>
    </row>
    <row r="315" spans="1:51">
      <c r="A315">
        <v>155</v>
      </c>
      <c r="B315" t="s">
        <v>857</v>
      </c>
      <c r="C315" t="s">
        <v>857</v>
      </c>
      <c r="D315">
        <v>1</v>
      </c>
      <c r="E315">
        <f>E314</f>
        <v>1452</v>
      </c>
      <c r="F315">
        <f t="shared" ref="F315" si="967">F314</f>
        <v>826</v>
      </c>
      <c r="G315">
        <f t="shared" ref="G315" si="968">G314</f>
        <v>155</v>
      </c>
      <c r="H315">
        <f t="shared" ref="H315" si="969">H314</f>
        <v>1</v>
      </c>
      <c r="I315">
        <f t="shared" ref="I315" si="970">I314</f>
        <v>1</v>
      </c>
      <c r="J315">
        <f t="shared" ref="J315" si="971">J314</f>
        <v>7</v>
      </c>
      <c r="K315">
        <v>13</v>
      </c>
      <c r="L315">
        <v>1</v>
      </c>
      <c r="M315">
        <v>24</v>
      </c>
      <c r="N315">
        <v>24</v>
      </c>
      <c r="O315">
        <v>10</v>
      </c>
      <c r="P315">
        <v>12</v>
      </c>
      <c r="Q315">
        <v>46</v>
      </c>
      <c r="R315">
        <v>23</v>
      </c>
      <c r="S315">
        <v>0</v>
      </c>
      <c r="T315">
        <v>0</v>
      </c>
      <c r="U315">
        <f t="shared" ref="U315" si="972">U314</f>
        <v>5</v>
      </c>
      <c r="V315">
        <v>25</v>
      </c>
      <c r="W315">
        <f t="shared" ref="W315" si="973">W314</f>
        <v>1</v>
      </c>
      <c r="X315">
        <v>20</v>
      </c>
      <c r="Y315">
        <f t="shared" ref="Y315" si="974">Y314</f>
        <v>0</v>
      </c>
      <c r="Z315">
        <v>25</v>
      </c>
      <c r="AA315">
        <v>30</v>
      </c>
      <c r="AB315">
        <v>19</v>
      </c>
      <c r="AC315">
        <v>80</v>
      </c>
      <c r="AD315">
        <v>0</v>
      </c>
      <c r="AE315">
        <v>24</v>
      </c>
      <c r="AF315">
        <v>59</v>
      </c>
      <c r="AG315">
        <v>44</v>
      </c>
      <c r="AH315">
        <v>0</v>
      </c>
      <c r="AI315">
        <v>45</v>
      </c>
      <c r="AJ315">
        <v>62</v>
      </c>
      <c r="AK315">
        <v>0</v>
      </c>
      <c r="AL315">
        <v>-1</v>
      </c>
      <c r="AM315">
        <v>-1</v>
      </c>
      <c r="AN315">
        <v>3</v>
      </c>
      <c r="AO315">
        <v>3</v>
      </c>
      <c r="AP315">
        <v>0</v>
      </c>
      <c r="AQ315">
        <v>0</v>
      </c>
      <c r="AR315">
        <f t="shared" si="769"/>
        <v>6</v>
      </c>
      <c r="AS315">
        <f>IF(AND(IFERROR(VLOOKUP(AJ315,Equip!$A:$N,13,FALSE),0)&gt;=5,IFERROR(VLOOKUP(AJ315,Equip!$A:$N,13,FALSE),0)&lt;=9),INT(VLOOKUP(AJ315,Equip!$A:$N,6,FALSE)*SQRT(AN315)),0)</f>
        <v>0</v>
      </c>
      <c r="AT315">
        <f>IF(AND(IFERROR(VLOOKUP(AK315,Equip!$A:$N,13,FALSE),0)&gt;=5,IFERROR(VLOOKUP(AK315,Equip!$A:$N,13,FALSE),0)&lt;=9),INT(VLOOKUP(AK315,Equip!$A:$N,6,FALSE)*SQRT(AO315)),0)</f>
        <v>0</v>
      </c>
      <c r="AU315">
        <f>IF(AND(IFERROR(VLOOKUP(AL315,Equip!$A:$N,13,FALSE),0)&gt;=5,IFERROR(VLOOKUP(AL315,Equip!$A:$N,13,FALSE),0)&lt;=9),INT(VLOOKUP(AL315,Equip!$A:$N,6,FALSE)*SQRT(AP315)),0)</f>
        <v>0</v>
      </c>
      <c r="AV315">
        <f>IF(AND(IFERROR(VLOOKUP(AM315,Equip!$A:$N,13,FALSE),0)&gt;=5,IFERROR(VLOOKUP(AM315,Equip!$A:$N,13,FALSE),0)&lt;=9),INT(VLOOKUP(AM315,Equip!$A:$N,6,FALSE)*SQRT(AQ315)),0)</f>
        <v>0</v>
      </c>
      <c r="AW315">
        <f t="shared" si="770"/>
        <v>0</v>
      </c>
      <c r="AX315">
        <f t="shared" si="771"/>
        <v>236</v>
      </c>
    </row>
    <row r="316" spans="1:51">
      <c r="A316">
        <v>161</v>
      </c>
      <c r="B316" t="s">
        <v>858</v>
      </c>
      <c r="C316" t="s">
        <v>858</v>
      </c>
      <c r="D316">
        <v>0</v>
      </c>
      <c r="E316">
        <v>1926</v>
      </c>
      <c r="F316">
        <v>1063</v>
      </c>
      <c r="G316">
        <v>161</v>
      </c>
      <c r="H316">
        <v>1</v>
      </c>
      <c r="I316">
        <v>1</v>
      </c>
      <c r="J316">
        <v>2</v>
      </c>
      <c r="K316">
        <v>15</v>
      </c>
      <c r="L316">
        <v>4</v>
      </c>
      <c r="M316">
        <v>38</v>
      </c>
      <c r="N316">
        <v>38</v>
      </c>
      <c r="O316">
        <v>6</v>
      </c>
      <c r="P316">
        <v>13</v>
      </c>
      <c r="Q316">
        <v>0</v>
      </c>
      <c r="R316">
        <v>15</v>
      </c>
      <c r="S316">
        <v>13</v>
      </c>
      <c r="T316">
        <v>0</v>
      </c>
      <c r="U316">
        <v>5</v>
      </c>
      <c r="V316">
        <v>3</v>
      </c>
      <c r="W316">
        <v>1</v>
      </c>
      <c r="X316">
        <v>10</v>
      </c>
      <c r="Y316">
        <v>0</v>
      </c>
      <c r="Z316">
        <v>40</v>
      </c>
      <c r="AA316">
        <v>10</v>
      </c>
      <c r="AB316">
        <v>19</v>
      </c>
      <c r="AC316">
        <v>0</v>
      </c>
      <c r="AD316">
        <v>29</v>
      </c>
      <c r="AE316">
        <v>33</v>
      </c>
      <c r="AF316">
        <v>39</v>
      </c>
      <c r="AG316">
        <v>39</v>
      </c>
      <c r="AH316">
        <v>0</v>
      </c>
      <c r="AI316">
        <v>13</v>
      </c>
      <c r="AJ316">
        <v>68</v>
      </c>
      <c r="AK316">
        <v>39</v>
      </c>
      <c r="AL316">
        <v>-1</v>
      </c>
      <c r="AM316">
        <v>-1</v>
      </c>
      <c r="AN316">
        <v>0</v>
      </c>
      <c r="AO316">
        <v>0</v>
      </c>
      <c r="AP316">
        <v>0</v>
      </c>
      <c r="AQ316">
        <v>0</v>
      </c>
      <c r="AR316">
        <f t="shared" si="769"/>
        <v>0</v>
      </c>
      <c r="AS316">
        <f>IF(AND(IFERROR(VLOOKUP(AJ316,Equip!$A:$N,13,FALSE),0)&gt;=5,IFERROR(VLOOKUP(AJ316,Equip!$A:$N,13,FALSE),0)&lt;=9),INT(VLOOKUP(AJ316,Equip!$A:$N,6,FALSE)*SQRT(AN316)),0)</f>
        <v>0</v>
      </c>
      <c r="AT316">
        <f>IF(AND(IFERROR(VLOOKUP(AK316,Equip!$A:$N,13,FALSE),0)&gt;=5,IFERROR(VLOOKUP(AK316,Equip!$A:$N,13,FALSE),0)&lt;=9),INT(VLOOKUP(AK316,Equip!$A:$N,6,FALSE)*SQRT(AO316)),0)</f>
        <v>0</v>
      </c>
      <c r="AU316">
        <f>IF(AND(IFERROR(VLOOKUP(AL316,Equip!$A:$N,13,FALSE),0)&gt;=5,IFERROR(VLOOKUP(AL316,Equip!$A:$N,13,FALSE),0)&lt;=9),INT(VLOOKUP(AL316,Equip!$A:$N,6,FALSE)*SQRT(AP316)),0)</f>
        <v>0</v>
      </c>
      <c r="AV316">
        <f>IF(AND(IFERROR(VLOOKUP(AM316,Equip!$A:$N,13,FALSE),0)&gt;=5,IFERROR(VLOOKUP(AM316,Equip!$A:$N,13,FALSE),0)&lt;=9),INT(VLOOKUP(AM316,Equip!$A:$N,6,FALSE)*SQRT(AQ316)),0)</f>
        <v>0</v>
      </c>
      <c r="AW316">
        <f t="shared" si="770"/>
        <v>0</v>
      </c>
      <c r="AX316">
        <f t="shared" si="771"/>
        <v>171</v>
      </c>
    </row>
    <row r="317" spans="1:51">
      <c r="A317">
        <v>161</v>
      </c>
      <c r="B317" t="s">
        <v>858</v>
      </c>
      <c r="C317" t="s">
        <v>858</v>
      </c>
      <c r="D317">
        <v>1</v>
      </c>
      <c r="E317">
        <f>E316</f>
        <v>1926</v>
      </c>
      <c r="F317">
        <f t="shared" ref="F317" si="975">F316</f>
        <v>1063</v>
      </c>
      <c r="G317">
        <f t="shared" ref="G317" si="976">G316</f>
        <v>161</v>
      </c>
      <c r="H317">
        <f t="shared" ref="H317" si="977">H316</f>
        <v>1</v>
      </c>
      <c r="I317">
        <f t="shared" ref="I317" si="978">I316</f>
        <v>1</v>
      </c>
      <c r="J317">
        <f t="shared" ref="J317" si="979">J316</f>
        <v>2</v>
      </c>
      <c r="K317">
        <v>15</v>
      </c>
      <c r="L317">
        <v>4</v>
      </c>
      <c r="M317">
        <v>40</v>
      </c>
      <c r="N317">
        <v>40</v>
      </c>
      <c r="O317">
        <v>8</v>
      </c>
      <c r="P317">
        <v>21</v>
      </c>
      <c r="Q317">
        <v>0</v>
      </c>
      <c r="R317">
        <v>17</v>
      </c>
      <c r="S317">
        <v>15</v>
      </c>
      <c r="T317">
        <v>0</v>
      </c>
      <c r="U317">
        <f t="shared" ref="U317" si="980">U316</f>
        <v>5</v>
      </c>
      <c r="V317">
        <v>3</v>
      </c>
      <c r="W317">
        <f t="shared" ref="W317" si="981">W316</f>
        <v>1</v>
      </c>
      <c r="X317">
        <v>13</v>
      </c>
      <c r="Y317">
        <f t="shared" ref="Y317" si="982">Y316</f>
        <v>0</v>
      </c>
      <c r="Z317">
        <v>45</v>
      </c>
      <c r="AA317">
        <v>25</v>
      </c>
      <c r="AB317">
        <v>33</v>
      </c>
      <c r="AC317">
        <v>0</v>
      </c>
      <c r="AD317">
        <v>37</v>
      </c>
      <c r="AE317">
        <v>43</v>
      </c>
      <c r="AF317">
        <v>49</v>
      </c>
      <c r="AG317">
        <v>49</v>
      </c>
      <c r="AH317">
        <v>0</v>
      </c>
      <c r="AI317">
        <v>59</v>
      </c>
      <c r="AJ317">
        <v>70</v>
      </c>
      <c r="AK317">
        <v>69</v>
      </c>
      <c r="AL317">
        <v>0</v>
      </c>
      <c r="AM317">
        <v>-1</v>
      </c>
      <c r="AN317">
        <v>8</v>
      </c>
      <c r="AO317">
        <v>8</v>
      </c>
      <c r="AP317">
        <v>8</v>
      </c>
      <c r="AQ317">
        <v>0</v>
      </c>
      <c r="AR317">
        <f t="shared" si="769"/>
        <v>24</v>
      </c>
      <c r="AS317">
        <f>IF(AND(IFERROR(VLOOKUP(AJ317,Equip!$A:$N,13,FALSE),0)&gt;=5,IFERROR(VLOOKUP(AJ317,Equip!$A:$N,13,FALSE),0)&lt;=9),INT(VLOOKUP(AJ317,Equip!$A:$N,6,FALSE)*SQRT(AN317)),0)</f>
        <v>0</v>
      </c>
      <c r="AT317">
        <f>IF(AND(IFERROR(VLOOKUP(AK317,Equip!$A:$N,13,FALSE),0)&gt;=5,IFERROR(VLOOKUP(AK317,Equip!$A:$N,13,FALSE),0)&lt;=9),INT(VLOOKUP(AK317,Equip!$A:$N,6,FALSE)*SQRT(AO317)),0)</f>
        <v>0</v>
      </c>
      <c r="AU317">
        <f>IF(AND(IFERROR(VLOOKUP(AL317,Equip!$A:$N,13,FALSE),0)&gt;=5,IFERROR(VLOOKUP(AL317,Equip!$A:$N,13,FALSE),0)&lt;=9),INT(VLOOKUP(AL317,Equip!$A:$N,6,FALSE)*SQRT(AP317)),0)</f>
        <v>0</v>
      </c>
      <c r="AV317">
        <f>IF(AND(IFERROR(VLOOKUP(AM317,Equip!$A:$N,13,FALSE),0)&gt;=5,IFERROR(VLOOKUP(AM317,Equip!$A:$N,13,FALSE),0)&lt;=9),INT(VLOOKUP(AM317,Equip!$A:$N,6,FALSE)*SQRT(AQ317)),0)</f>
        <v>0</v>
      </c>
      <c r="AW317">
        <f t="shared" si="770"/>
        <v>0</v>
      </c>
      <c r="AX317">
        <f t="shared" si="771"/>
        <v>261</v>
      </c>
    </row>
    <row r="318" spans="1:51">
      <c r="A318">
        <v>162</v>
      </c>
      <c r="B318" t="s">
        <v>859</v>
      </c>
      <c r="C318" t="s">
        <v>859</v>
      </c>
      <c r="D318">
        <v>0</v>
      </c>
      <c r="E318">
        <v>1989</v>
      </c>
      <c r="F318">
        <v>1098</v>
      </c>
      <c r="G318">
        <v>162</v>
      </c>
      <c r="H318">
        <v>2</v>
      </c>
      <c r="I318">
        <v>1</v>
      </c>
      <c r="J318">
        <v>6</v>
      </c>
      <c r="K318">
        <v>18</v>
      </c>
      <c r="L318">
        <v>4</v>
      </c>
      <c r="M318">
        <v>36</v>
      </c>
      <c r="N318">
        <v>36</v>
      </c>
      <c r="O318">
        <v>3</v>
      </c>
      <c r="P318">
        <v>6</v>
      </c>
      <c r="Q318">
        <v>0</v>
      </c>
      <c r="R318">
        <v>13</v>
      </c>
      <c r="S318">
        <v>8</v>
      </c>
      <c r="T318">
        <v>0</v>
      </c>
      <c r="U318">
        <v>5</v>
      </c>
      <c r="V318">
        <v>5</v>
      </c>
      <c r="W318">
        <v>2</v>
      </c>
      <c r="X318">
        <v>17</v>
      </c>
      <c r="Y318">
        <v>0</v>
      </c>
      <c r="Z318">
        <v>30</v>
      </c>
      <c r="AA318">
        <v>10</v>
      </c>
      <c r="AB318">
        <v>18</v>
      </c>
      <c r="AC318">
        <v>0</v>
      </c>
      <c r="AD318">
        <v>24</v>
      </c>
      <c r="AE318">
        <v>18</v>
      </c>
      <c r="AF318">
        <v>67</v>
      </c>
      <c r="AG318">
        <v>27</v>
      </c>
      <c r="AH318">
        <v>0</v>
      </c>
      <c r="AI318">
        <v>15</v>
      </c>
      <c r="AJ318">
        <v>0</v>
      </c>
      <c r="AK318">
        <v>0</v>
      </c>
      <c r="AL318">
        <v>0</v>
      </c>
      <c r="AM318">
        <v>-1</v>
      </c>
      <c r="AN318">
        <v>0</v>
      </c>
      <c r="AO318">
        <v>0</v>
      </c>
      <c r="AP318">
        <v>0</v>
      </c>
      <c r="AQ318">
        <v>0</v>
      </c>
      <c r="AR318">
        <f t="shared" si="769"/>
        <v>0</v>
      </c>
      <c r="AS318">
        <f>IF(AND(IFERROR(VLOOKUP(AJ318,Equip!$A:$N,13,FALSE),0)&gt;=5,IFERROR(VLOOKUP(AJ318,Equip!$A:$N,13,FALSE),0)&lt;=9),INT(VLOOKUP(AJ318,Equip!$A:$N,6,FALSE)*SQRT(AN318)),0)</f>
        <v>0</v>
      </c>
      <c r="AT318">
        <f>IF(AND(IFERROR(VLOOKUP(AK318,Equip!$A:$N,13,FALSE),0)&gt;=5,IFERROR(VLOOKUP(AK318,Equip!$A:$N,13,FALSE),0)&lt;=9),INT(VLOOKUP(AK318,Equip!$A:$N,6,FALSE)*SQRT(AO318)),0)</f>
        <v>0</v>
      </c>
      <c r="AU318">
        <f>IF(AND(IFERROR(VLOOKUP(AL318,Equip!$A:$N,13,FALSE),0)&gt;=5,IFERROR(VLOOKUP(AL318,Equip!$A:$N,13,FALSE),0)&lt;=9),INT(VLOOKUP(AL318,Equip!$A:$N,6,FALSE)*SQRT(AP318)),0)</f>
        <v>0</v>
      </c>
      <c r="AV318">
        <f>IF(AND(IFERROR(VLOOKUP(AM318,Equip!$A:$N,13,FALSE),0)&gt;=5,IFERROR(VLOOKUP(AM318,Equip!$A:$N,13,FALSE),0)&lt;=9),INT(VLOOKUP(AM318,Equip!$A:$N,6,FALSE)*SQRT(AQ318)),0)</f>
        <v>0</v>
      </c>
      <c r="AW318">
        <f t="shared" si="770"/>
        <v>0</v>
      </c>
      <c r="AX318">
        <f t="shared" si="771"/>
        <v>138</v>
      </c>
    </row>
    <row r="319" spans="1:51">
      <c r="A319">
        <v>162</v>
      </c>
      <c r="B319" t="s">
        <v>859</v>
      </c>
      <c r="C319" t="s">
        <v>859</v>
      </c>
      <c r="D319">
        <v>1</v>
      </c>
      <c r="E319">
        <f t="shared" ref="E319:E320" si="983">E318</f>
        <v>1989</v>
      </c>
      <c r="F319">
        <f t="shared" ref="F319:F320" si="984">F318</f>
        <v>1098</v>
      </c>
      <c r="G319">
        <f t="shared" ref="G319:G320" si="985">G318</f>
        <v>162</v>
      </c>
      <c r="H319">
        <f t="shared" ref="H319:H320" si="986">H318</f>
        <v>2</v>
      </c>
      <c r="I319">
        <f t="shared" ref="I319:I320" si="987">I318</f>
        <v>1</v>
      </c>
      <c r="J319">
        <f t="shared" ref="J319:J320" si="988">J318</f>
        <v>6</v>
      </c>
      <c r="K319">
        <v>10</v>
      </c>
      <c r="L319">
        <v>4</v>
      </c>
      <c r="M319">
        <v>37</v>
      </c>
      <c r="N319">
        <v>37</v>
      </c>
      <c r="O319">
        <v>6</v>
      </c>
      <c r="P319">
        <v>13</v>
      </c>
      <c r="Q319">
        <v>0</v>
      </c>
      <c r="R319">
        <v>13</v>
      </c>
      <c r="S319">
        <v>12</v>
      </c>
      <c r="T319">
        <v>0</v>
      </c>
      <c r="U319">
        <f t="shared" ref="U319:U320" si="989">U318</f>
        <v>5</v>
      </c>
      <c r="V319">
        <v>22</v>
      </c>
      <c r="W319">
        <f t="shared" ref="W319:W320" si="990">W318</f>
        <v>2</v>
      </c>
      <c r="X319">
        <v>19</v>
      </c>
      <c r="Y319">
        <f t="shared" ref="Y319:Y320" si="991">Y318</f>
        <v>0</v>
      </c>
      <c r="Z319">
        <v>30</v>
      </c>
      <c r="AA319">
        <v>15</v>
      </c>
      <c r="AB319">
        <v>22</v>
      </c>
      <c r="AC319">
        <v>0</v>
      </c>
      <c r="AD319">
        <v>28</v>
      </c>
      <c r="AE319">
        <v>29</v>
      </c>
      <c r="AF319">
        <v>69</v>
      </c>
      <c r="AG319">
        <v>27</v>
      </c>
      <c r="AH319">
        <v>0</v>
      </c>
      <c r="AI319">
        <v>28</v>
      </c>
      <c r="AJ319">
        <v>0</v>
      </c>
      <c r="AK319">
        <v>0</v>
      </c>
      <c r="AL319">
        <v>0</v>
      </c>
      <c r="AM319">
        <v>-1</v>
      </c>
      <c r="AN319">
        <v>11</v>
      </c>
      <c r="AO319">
        <v>8</v>
      </c>
      <c r="AP319">
        <v>3</v>
      </c>
      <c r="AQ319">
        <v>0</v>
      </c>
      <c r="AR319">
        <f t="shared" si="769"/>
        <v>22</v>
      </c>
      <c r="AS319">
        <f>IF(AND(IFERROR(VLOOKUP(AJ319,Equip!$A:$N,13,FALSE),0)&gt;=5,IFERROR(VLOOKUP(AJ319,Equip!$A:$N,13,FALSE),0)&lt;=9),INT(VLOOKUP(AJ319,Equip!$A:$N,6,FALSE)*SQRT(AN319)),0)</f>
        <v>0</v>
      </c>
      <c r="AT319">
        <f>IF(AND(IFERROR(VLOOKUP(AK319,Equip!$A:$N,13,FALSE),0)&gt;=5,IFERROR(VLOOKUP(AK319,Equip!$A:$N,13,FALSE),0)&lt;=9),INT(VLOOKUP(AK319,Equip!$A:$N,6,FALSE)*SQRT(AO319)),0)</f>
        <v>0</v>
      </c>
      <c r="AU319">
        <f>IF(AND(IFERROR(VLOOKUP(AL319,Equip!$A:$N,13,FALSE),0)&gt;=5,IFERROR(VLOOKUP(AL319,Equip!$A:$N,13,FALSE),0)&lt;=9),INT(VLOOKUP(AL319,Equip!$A:$N,6,FALSE)*SQRT(AP319)),0)</f>
        <v>0</v>
      </c>
      <c r="AV319">
        <f>IF(AND(IFERROR(VLOOKUP(AM319,Equip!$A:$N,13,FALSE),0)&gt;=5,IFERROR(VLOOKUP(AM319,Equip!$A:$N,13,FALSE),0)&lt;=9),INT(VLOOKUP(AM319,Equip!$A:$N,6,FALSE)*SQRT(AQ319)),0)</f>
        <v>0</v>
      </c>
      <c r="AW319">
        <f t="shared" si="770"/>
        <v>0</v>
      </c>
      <c r="AX319">
        <f t="shared" si="771"/>
        <v>171</v>
      </c>
    </row>
    <row r="320" spans="1:51" ht="14.25">
      <c r="A320">
        <v>162</v>
      </c>
      <c r="B320" t="s">
        <v>859</v>
      </c>
      <c r="C320" t="s">
        <v>859</v>
      </c>
      <c r="D320">
        <v>2</v>
      </c>
      <c r="E320">
        <f t="shared" si="983"/>
        <v>1989</v>
      </c>
      <c r="F320">
        <f t="shared" si="984"/>
        <v>1098</v>
      </c>
      <c r="G320">
        <f t="shared" si="985"/>
        <v>162</v>
      </c>
      <c r="H320">
        <f t="shared" si="986"/>
        <v>2</v>
      </c>
      <c r="I320">
        <f t="shared" si="987"/>
        <v>1</v>
      </c>
      <c r="J320">
        <f t="shared" si="988"/>
        <v>6</v>
      </c>
      <c r="K320">
        <v>18</v>
      </c>
      <c r="L320">
        <v>4</v>
      </c>
      <c r="M320">
        <v>39</v>
      </c>
      <c r="N320">
        <v>39</v>
      </c>
      <c r="O320">
        <v>7</v>
      </c>
      <c r="P320">
        <v>17</v>
      </c>
      <c r="Q320">
        <v>0</v>
      </c>
      <c r="R320">
        <v>16</v>
      </c>
      <c r="S320">
        <v>14</v>
      </c>
      <c r="T320">
        <v>0</v>
      </c>
      <c r="U320">
        <f t="shared" si="989"/>
        <v>5</v>
      </c>
      <c r="V320">
        <v>32</v>
      </c>
      <c r="W320">
        <f t="shared" si="990"/>
        <v>2</v>
      </c>
      <c r="X320">
        <v>20</v>
      </c>
      <c r="Y320">
        <f t="shared" si="991"/>
        <v>0</v>
      </c>
      <c r="Z320">
        <v>30</v>
      </c>
      <c r="AA320">
        <v>20</v>
      </c>
      <c r="AB320">
        <v>25</v>
      </c>
      <c r="AC320">
        <v>0</v>
      </c>
      <c r="AD320">
        <v>34</v>
      </c>
      <c r="AE320">
        <v>33</v>
      </c>
      <c r="AF320">
        <v>79</v>
      </c>
      <c r="AG320">
        <v>38</v>
      </c>
      <c r="AH320">
        <v>0</v>
      </c>
      <c r="AI320">
        <v>54</v>
      </c>
      <c r="AJ320">
        <v>0</v>
      </c>
      <c r="AK320">
        <v>0</v>
      </c>
      <c r="AL320">
        <v>0</v>
      </c>
      <c r="AM320">
        <v>-1</v>
      </c>
      <c r="AN320">
        <v>6</v>
      </c>
      <c r="AO320">
        <v>1</v>
      </c>
      <c r="AP320">
        <v>1</v>
      </c>
      <c r="AQ320">
        <v>0</v>
      </c>
      <c r="AR320">
        <f t="shared" si="769"/>
        <v>8</v>
      </c>
      <c r="AS320">
        <f>IF(AND(IFERROR(VLOOKUP(AJ320,Equip!$A:$N,13,FALSE),0)&gt;=5,IFERROR(VLOOKUP(AJ320,Equip!$A:$N,13,FALSE),0)&lt;=9),INT(VLOOKUP(AJ320,Equip!$A:$N,6,FALSE)*SQRT(AN320)),0)</f>
        <v>0</v>
      </c>
      <c r="AT320">
        <f>IF(AND(IFERROR(VLOOKUP(AK320,Equip!$A:$N,13,FALSE),0)&gt;=5,IFERROR(VLOOKUP(AK320,Equip!$A:$N,13,FALSE),0)&lt;=9),INT(VLOOKUP(AK320,Equip!$A:$N,6,FALSE)*SQRT(AO320)),0)</f>
        <v>0</v>
      </c>
      <c r="AU320">
        <f>IF(AND(IFERROR(VLOOKUP(AL320,Equip!$A:$N,13,FALSE),0)&gt;=5,IFERROR(VLOOKUP(AL320,Equip!$A:$N,13,FALSE),0)&lt;=9),INT(VLOOKUP(AL320,Equip!$A:$N,6,FALSE)*SQRT(AP320)),0)</f>
        <v>0</v>
      </c>
      <c r="AV320">
        <f>IF(AND(IFERROR(VLOOKUP(AM320,Equip!$A:$N,13,FALSE),0)&gt;=5,IFERROR(VLOOKUP(AM320,Equip!$A:$N,13,FALSE),0)&lt;=9),INT(VLOOKUP(AM320,Equip!$A:$N,6,FALSE)*SQRT(AQ320)),0)</f>
        <v>0</v>
      </c>
      <c r="AW320">
        <f t="shared" si="770"/>
        <v>0</v>
      </c>
      <c r="AX320">
        <f t="shared" si="771"/>
        <v>223</v>
      </c>
      <c r="AY320" s="4" t="s">
        <v>1392</v>
      </c>
    </row>
    <row r="321" spans="1:50">
      <c r="A321">
        <v>163</v>
      </c>
      <c r="B321" t="s">
        <v>860</v>
      </c>
      <c r="C321" t="s">
        <v>860</v>
      </c>
      <c r="D321">
        <v>0</v>
      </c>
      <c r="E321">
        <v>885</v>
      </c>
      <c r="F321">
        <v>542</v>
      </c>
      <c r="G321">
        <v>163</v>
      </c>
      <c r="H321">
        <v>0</v>
      </c>
      <c r="I321">
        <v>1</v>
      </c>
      <c r="J321">
        <v>0</v>
      </c>
      <c r="K321">
        <v>14</v>
      </c>
      <c r="L321">
        <v>1</v>
      </c>
      <c r="M321">
        <v>6</v>
      </c>
      <c r="N321">
        <v>6</v>
      </c>
      <c r="O321">
        <v>1</v>
      </c>
      <c r="P321">
        <v>2</v>
      </c>
      <c r="Q321">
        <v>0</v>
      </c>
      <c r="R321">
        <v>9</v>
      </c>
      <c r="S321">
        <v>0</v>
      </c>
      <c r="T321">
        <v>0</v>
      </c>
      <c r="U321">
        <v>4</v>
      </c>
      <c r="V321">
        <v>1</v>
      </c>
      <c r="W321">
        <v>1</v>
      </c>
      <c r="X321">
        <v>7</v>
      </c>
      <c r="Y321">
        <v>0</v>
      </c>
      <c r="Z321">
        <v>10</v>
      </c>
      <c r="AA321">
        <v>5</v>
      </c>
      <c r="AB321">
        <v>3</v>
      </c>
      <c r="AC321">
        <v>9</v>
      </c>
      <c r="AD321">
        <v>0</v>
      </c>
      <c r="AE321">
        <v>9</v>
      </c>
      <c r="AF321">
        <v>77</v>
      </c>
      <c r="AG321">
        <v>19</v>
      </c>
      <c r="AH321">
        <v>0</v>
      </c>
      <c r="AI321">
        <v>9</v>
      </c>
      <c r="AJ321">
        <v>-1</v>
      </c>
      <c r="AK321">
        <v>-1</v>
      </c>
      <c r="AL321">
        <v>-1</v>
      </c>
      <c r="AM321">
        <v>-1</v>
      </c>
      <c r="AN321">
        <v>0</v>
      </c>
      <c r="AO321">
        <v>0</v>
      </c>
      <c r="AP321">
        <v>0</v>
      </c>
      <c r="AQ321">
        <v>0</v>
      </c>
      <c r="AR321">
        <f t="shared" si="769"/>
        <v>0</v>
      </c>
      <c r="AS321">
        <f>IF(AND(IFERROR(VLOOKUP(AJ321,Equip!$A:$N,13,FALSE),0)&gt;=5,IFERROR(VLOOKUP(AJ321,Equip!$A:$N,13,FALSE),0)&lt;=9),INT(VLOOKUP(AJ321,Equip!$A:$N,6,FALSE)*SQRT(AN321)),0)</f>
        <v>0</v>
      </c>
      <c r="AT321">
        <f>IF(AND(IFERROR(VLOOKUP(AK321,Equip!$A:$N,13,FALSE),0)&gt;=5,IFERROR(VLOOKUP(AK321,Equip!$A:$N,13,FALSE),0)&lt;=9),INT(VLOOKUP(AK321,Equip!$A:$N,6,FALSE)*SQRT(AO321)),0)</f>
        <v>0</v>
      </c>
      <c r="AU321">
        <f>IF(AND(IFERROR(VLOOKUP(AL321,Equip!$A:$N,13,FALSE),0)&gt;=5,IFERROR(VLOOKUP(AL321,Equip!$A:$N,13,FALSE),0)&lt;=9),INT(VLOOKUP(AL321,Equip!$A:$N,6,FALSE)*SQRT(AP321)),0)</f>
        <v>0</v>
      </c>
      <c r="AV321">
        <f>IF(AND(IFERROR(VLOOKUP(AM321,Equip!$A:$N,13,FALSE),0)&gt;=5,IFERROR(VLOOKUP(AM321,Equip!$A:$N,13,FALSE),0)&lt;=9),INT(VLOOKUP(AM321,Equip!$A:$N,6,FALSE)*SQRT(AQ321)),0)</f>
        <v>0</v>
      </c>
      <c r="AW321">
        <f t="shared" si="770"/>
        <v>0</v>
      </c>
      <c r="AX321">
        <f t="shared" si="771"/>
        <v>55</v>
      </c>
    </row>
    <row r="322" spans="1:50">
      <c r="A322">
        <v>163</v>
      </c>
      <c r="B322" t="s">
        <v>860</v>
      </c>
      <c r="C322" t="s">
        <v>860</v>
      </c>
      <c r="D322">
        <v>1</v>
      </c>
      <c r="E322">
        <f>E321</f>
        <v>885</v>
      </c>
      <c r="F322">
        <f t="shared" ref="F322" si="992">F321</f>
        <v>542</v>
      </c>
      <c r="G322">
        <f t="shared" ref="G322" si="993">G321</f>
        <v>163</v>
      </c>
      <c r="H322">
        <f t="shared" ref="H322" si="994">H321</f>
        <v>0</v>
      </c>
      <c r="I322">
        <f t="shared" ref="I322" si="995">I321</f>
        <v>1</v>
      </c>
      <c r="J322">
        <f t="shared" ref="J322" si="996">J321</f>
        <v>0</v>
      </c>
      <c r="K322">
        <v>14</v>
      </c>
      <c r="L322">
        <v>1</v>
      </c>
      <c r="M322">
        <v>7</v>
      </c>
      <c r="N322">
        <v>7</v>
      </c>
      <c r="O322">
        <v>2</v>
      </c>
      <c r="P322">
        <v>4</v>
      </c>
      <c r="Q322">
        <v>2</v>
      </c>
      <c r="R322">
        <v>13</v>
      </c>
      <c r="S322">
        <v>0</v>
      </c>
      <c r="T322">
        <v>0</v>
      </c>
      <c r="U322">
        <f t="shared" ref="U322" si="997">U321</f>
        <v>4</v>
      </c>
      <c r="V322">
        <v>4</v>
      </c>
      <c r="W322">
        <f t="shared" ref="W322" si="998">W321</f>
        <v>1</v>
      </c>
      <c r="X322">
        <v>7</v>
      </c>
      <c r="Y322">
        <f t="shared" ref="Y322" si="999">Y321</f>
        <v>0</v>
      </c>
      <c r="Z322">
        <v>10</v>
      </c>
      <c r="AA322">
        <v>10</v>
      </c>
      <c r="AB322">
        <v>5</v>
      </c>
      <c r="AC322">
        <v>19</v>
      </c>
      <c r="AD322">
        <v>0</v>
      </c>
      <c r="AE322">
        <v>11</v>
      </c>
      <c r="AF322">
        <v>77</v>
      </c>
      <c r="AG322">
        <v>29</v>
      </c>
      <c r="AH322">
        <v>0</v>
      </c>
      <c r="AI322">
        <v>19</v>
      </c>
      <c r="AJ322">
        <v>0</v>
      </c>
      <c r="AK322">
        <v>-1</v>
      </c>
      <c r="AL322">
        <v>-1</v>
      </c>
      <c r="AM322">
        <v>-1</v>
      </c>
      <c r="AN322">
        <v>0</v>
      </c>
      <c r="AO322">
        <v>0</v>
      </c>
      <c r="AP322">
        <v>0</v>
      </c>
      <c r="AQ322">
        <v>0</v>
      </c>
      <c r="AR322">
        <f t="shared" si="769"/>
        <v>0</v>
      </c>
      <c r="AS322">
        <f>IF(AND(IFERROR(VLOOKUP(AJ322,Equip!$A:$N,13,FALSE),0)&gt;=5,IFERROR(VLOOKUP(AJ322,Equip!$A:$N,13,FALSE),0)&lt;=9),INT(VLOOKUP(AJ322,Equip!$A:$N,6,FALSE)*SQRT(AN322)),0)</f>
        <v>0</v>
      </c>
      <c r="AT322">
        <f>IF(AND(IFERROR(VLOOKUP(AK322,Equip!$A:$N,13,FALSE),0)&gt;=5,IFERROR(VLOOKUP(AK322,Equip!$A:$N,13,FALSE),0)&lt;=9),INT(VLOOKUP(AK322,Equip!$A:$N,6,FALSE)*SQRT(AO322)),0)</f>
        <v>0</v>
      </c>
      <c r="AU322">
        <f>IF(AND(IFERROR(VLOOKUP(AL322,Equip!$A:$N,13,FALSE),0)&gt;=5,IFERROR(VLOOKUP(AL322,Equip!$A:$N,13,FALSE),0)&lt;=9),INT(VLOOKUP(AL322,Equip!$A:$N,6,FALSE)*SQRT(AP322)),0)</f>
        <v>0</v>
      </c>
      <c r="AV322">
        <f>IF(AND(IFERROR(VLOOKUP(AM322,Equip!$A:$N,13,FALSE),0)&gt;=5,IFERROR(VLOOKUP(AM322,Equip!$A:$N,13,FALSE),0)&lt;=9),INT(VLOOKUP(AM322,Equip!$A:$N,6,FALSE)*SQRT(AQ322)),0)</f>
        <v>0</v>
      </c>
      <c r="AW322">
        <f t="shared" si="770"/>
        <v>0</v>
      </c>
      <c r="AX322">
        <f t="shared" si="771"/>
        <v>90</v>
      </c>
    </row>
    <row r="323" spans="1:50">
      <c r="A323">
        <v>164</v>
      </c>
      <c r="B323" t="s">
        <v>861</v>
      </c>
      <c r="C323" t="s">
        <v>861</v>
      </c>
      <c r="D323">
        <v>0</v>
      </c>
      <c r="E323">
        <v>1209</v>
      </c>
      <c r="F323">
        <v>704</v>
      </c>
      <c r="G323">
        <v>164</v>
      </c>
      <c r="H323">
        <v>0</v>
      </c>
      <c r="I323">
        <v>1</v>
      </c>
      <c r="J323">
        <v>10</v>
      </c>
      <c r="K323">
        <v>1</v>
      </c>
      <c r="L323">
        <v>1</v>
      </c>
      <c r="M323">
        <v>13</v>
      </c>
      <c r="N323">
        <v>13</v>
      </c>
      <c r="O323">
        <v>6</v>
      </c>
      <c r="P323">
        <v>5</v>
      </c>
      <c r="Q323">
        <v>18</v>
      </c>
      <c r="R323">
        <v>37</v>
      </c>
      <c r="S323">
        <v>7</v>
      </c>
      <c r="T323">
        <v>16</v>
      </c>
      <c r="U323">
        <v>10</v>
      </c>
      <c r="V323">
        <v>4</v>
      </c>
      <c r="W323">
        <v>1</v>
      </c>
      <c r="X323">
        <v>10</v>
      </c>
      <c r="Y323">
        <v>0</v>
      </c>
      <c r="Z323">
        <v>15</v>
      </c>
      <c r="AA323">
        <v>15</v>
      </c>
      <c r="AB323">
        <v>29</v>
      </c>
      <c r="AC323">
        <v>49</v>
      </c>
      <c r="AD323">
        <v>29</v>
      </c>
      <c r="AE323">
        <v>18</v>
      </c>
      <c r="AF323">
        <v>49</v>
      </c>
      <c r="AG323">
        <v>69</v>
      </c>
      <c r="AH323">
        <v>39</v>
      </c>
      <c r="AI323">
        <v>17</v>
      </c>
      <c r="AJ323">
        <v>1</v>
      </c>
      <c r="AK323">
        <v>0</v>
      </c>
      <c r="AL323">
        <v>-1</v>
      </c>
      <c r="AM323">
        <v>-1</v>
      </c>
      <c r="AN323">
        <v>0</v>
      </c>
      <c r="AO323">
        <v>0</v>
      </c>
      <c r="AP323">
        <v>0</v>
      </c>
      <c r="AQ323">
        <v>0</v>
      </c>
      <c r="AR323">
        <f t="shared" si="769"/>
        <v>0</v>
      </c>
      <c r="AS323">
        <f>IF(AND(IFERROR(VLOOKUP(AJ323,Equip!$A:$N,13,FALSE),0)&gt;=5,IFERROR(VLOOKUP(AJ323,Equip!$A:$N,13,FALSE),0)&lt;=9),INT(VLOOKUP(AJ323,Equip!$A:$N,6,FALSE)*SQRT(AN323)),0)</f>
        <v>0</v>
      </c>
      <c r="AT323">
        <f>IF(AND(IFERROR(VLOOKUP(AK323,Equip!$A:$N,13,FALSE),0)&gt;=5,IFERROR(VLOOKUP(AK323,Equip!$A:$N,13,FALSE),0)&lt;=9),INT(VLOOKUP(AK323,Equip!$A:$N,6,FALSE)*SQRT(AO323)),0)</f>
        <v>0</v>
      </c>
      <c r="AU323">
        <f>IF(AND(IFERROR(VLOOKUP(AL323,Equip!$A:$N,13,FALSE),0)&gt;=5,IFERROR(VLOOKUP(AL323,Equip!$A:$N,13,FALSE),0)&lt;=9),INT(VLOOKUP(AL323,Equip!$A:$N,6,FALSE)*SQRT(AP323)),0)</f>
        <v>0</v>
      </c>
      <c r="AV323">
        <f>IF(AND(IFERROR(VLOOKUP(AM323,Equip!$A:$N,13,FALSE),0)&gt;=5,IFERROR(VLOOKUP(AM323,Equip!$A:$N,13,FALSE),0)&lt;=9),INT(VLOOKUP(AM323,Equip!$A:$N,6,FALSE)*SQRT(AQ323)),0)</f>
        <v>0</v>
      </c>
      <c r="AW323">
        <f t="shared" si="770"/>
        <v>0</v>
      </c>
      <c r="AX323">
        <f t="shared" si="771"/>
        <v>263</v>
      </c>
    </row>
    <row r="324" spans="1:50">
      <c r="A324">
        <v>164</v>
      </c>
      <c r="B324" t="s">
        <v>861</v>
      </c>
      <c r="C324" t="s">
        <v>861</v>
      </c>
      <c r="D324">
        <v>1</v>
      </c>
      <c r="E324">
        <f>E323</f>
        <v>1209</v>
      </c>
      <c r="F324">
        <f t="shared" ref="F324" si="1000">F323</f>
        <v>704</v>
      </c>
      <c r="G324">
        <f t="shared" ref="G324" si="1001">G323</f>
        <v>164</v>
      </c>
      <c r="H324">
        <f t="shared" ref="H324" si="1002">H323</f>
        <v>0</v>
      </c>
      <c r="I324">
        <f t="shared" ref="I324" si="1003">I323</f>
        <v>1</v>
      </c>
      <c r="J324">
        <f t="shared" ref="J324" si="1004">J323</f>
        <v>10</v>
      </c>
      <c r="K324">
        <v>1</v>
      </c>
      <c r="L324">
        <v>1</v>
      </c>
      <c r="M324">
        <v>24</v>
      </c>
      <c r="N324">
        <v>24</v>
      </c>
      <c r="O324">
        <v>14</v>
      </c>
      <c r="P324">
        <v>16</v>
      </c>
      <c r="Q324">
        <v>27</v>
      </c>
      <c r="R324">
        <v>49</v>
      </c>
      <c r="S324">
        <v>15</v>
      </c>
      <c r="T324">
        <v>26</v>
      </c>
      <c r="U324">
        <f t="shared" ref="U324" si="1005">U323</f>
        <v>10</v>
      </c>
      <c r="V324">
        <v>12</v>
      </c>
      <c r="W324">
        <f t="shared" ref="W324" si="1006">W323</f>
        <v>1</v>
      </c>
      <c r="X324">
        <v>12</v>
      </c>
      <c r="Y324">
        <f t="shared" ref="Y324" si="1007">Y323</f>
        <v>0</v>
      </c>
      <c r="Z324">
        <v>15</v>
      </c>
      <c r="AA324">
        <v>15</v>
      </c>
      <c r="AB324">
        <v>39</v>
      </c>
      <c r="AC324">
        <v>69</v>
      </c>
      <c r="AD324">
        <v>39</v>
      </c>
      <c r="AE324">
        <v>39</v>
      </c>
      <c r="AF324">
        <v>59</v>
      </c>
      <c r="AG324">
        <v>89</v>
      </c>
      <c r="AH324">
        <v>59</v>
      </c>
      <c r="AI324">
        <v>39</v>
      </c>
      <c r="AJ324">
        <v>10</v>
      </c>
      <c r="AK324">
        <v>13</v>
      </c>
      <c r="AL324">
        <v>0</v>
      </c>
      <c r="AM324">
        <v>-1</v>
      </c>
      <c r="AN324">
        <v>0</v>
      </c>
      <c r="AO324">
        <v>0</v>
      </c>
      <c r="AP324">
        <v>0</v>
      </c>
      <c r="AQ324">
        <v>0</v>
      </c>
      <c r="AR324">
        <f t="shared" ref="AR324:AR387" si="1008">SUM(AN324:AQ324)</f>
        <v>0</v>
      </c>
      <c r="AS324">
        <f>IF(AND(IFERROR(VLOOKUP(AJ324,Equip!$A:$N,13,FALSE),0)&gt;=5,IFERROR(VLOOKUP(AJ324,Equip!$A:$N,13,FALSE),0)&lt;=9),INT(VLOOKUP(AJ324,Equip!$A:$N,6,FALSE)*SQRT(AN324)),0)</f>
        <v>0</v>
      </c>
      <c r="AT324">
        <f>IF(AND(IFERROR(VLOOKUP(AK324,Equip!$A:$N,13,FALSE),0)&gt;=5,IFERROR(VLOOKUP(AK324,Equip!$A:$N,13,FALSE),0)&lt;=9),INT(VLOOKUP(AK324,Equip!$A:$N,6,FALSE)*SQRT(AO324)),0)</f>
        <v>0</v>
      </c>
      <c r="AU324">
        <f>IF(AND(IFERROR(VLOOKUP(AL324,Equip!$A:$N,13,FALSE),0)&gt;=5,IFERROR(VLOOKUP(AL324,Equip!$A:$N,13,FALSE),0)&lt;=9),INT(VLOOKUP(AL324,Equip!$A:$N,6,FALSE)*SQRT(AP324)),0)</f>
        <v>0</v>
      </c>
      <c r="AV324">
        <f>IF(AND(IFERROR(VLOOKUP(AM324,Equip!$A:$N,13,FALSE),0)&gt;=5,IFERROR(VLOOKUP(AM324,Equip!$A:$N,13,FALSE),0)&lt;=9),INT(VLOOKUP(AM324,Equip!$A:$N,6,FALSE)*SQRT(AQ324)),0)</f>
        <v>0</v>
      </c>
      <c r="AW324">
        <f t="shared" ref="AW324:AW387" si="1009">SUM(AS324:AV324)</f>
        <v>0</v>
      </c>
      <c r="AX324">
        <f t="shared" ref="AX324:AX387" si="1010">SUM(N324,AB324:AE324,AG324:AI324)</f>
        <v>397</v>
      </c>
    </row>
    <row r="325" spans="1:50">
      <c r="A325">
        <v>165</v>
      </c>
      <c r="B325" t="s">
        <v>862</v>
      </c>
      <c r="C325" t="s">
        <v>862</v>
      </c>
      <c r="D325">
        <v>0</v>
      </c>
      <c r="E325">
        <v>1209</v>
      </c>
      <c r="F325">
        <v>704</v>
      </c>
      <c r="G325">
        <v>165</v>
      </c>
      <c r="H325">
        <v>0</v>
      </c>
      <c r="I325">
        <v>1</v>
      </c>
      <c r="J325">
        <v>8</v>
      </c>
      <c r="K325">
        <v>1</v>
      </c>
      <c r="L325">
        <v>1</v>
      </c>
      <c r="M325">
        <v>13</v>
      </c>
      <c r="N325">
        <v>13</v>
      </c>
      <c r="O325">
        <v>6</v>
      </c>
      <c r="P325">
        <v>5</v>
      </c>
      <c r="Q325">
        <v>18</v>
      </c>
      <c r="R325">
        <v>37</v>
      </c>
      <c r="S325">
        <v>7</v>
      </c>
      <c r="T325">
        <v>16</v>
      </c>
      <c r="U325">
        <v>10</v>
      </c>
      <c r="V325">
        <v>4</v>
      </c>
      <c r="W325">
        <v>1</v>
      </c>
      <c r="X325">
        <v>10</v>
      </c>
      <c r="Y325">
        <v>0</v>
      </c>
      <c r="Z325">
        <v>15</v>
      </c>
      <c r="AA325">
        <v>15</v>
      </c>
      <c r="AB325">
        <v>29</v>
      </c>
      <c r="AC325">
        <v>49</v>
      </c>
      <c r="AD325">
        <v>29</v>
      </c>
      <c r="AE325">
        <v>18</v>
      </c>
      <c r="AF325">
        <v>49</v>
      </c>
      <c r="AG325">
        <v>69</v>
      </c>
      <c r="AH325">
        <v>39</v>
      </c>
      <c r="AI325">
        <v>17</v>
      </c>
      <c r="AJ325">
        <v>1</v>
      </c>
      <c r="AK325">
        <v>0</v>
      </c>
      <c r="AL325">
        <v>-1</v>
      </c>
      <c r="AM325">
        <v>-1</v>
      </c>
      <c r="AN325">
        <v>0</v>
      </c>
      <c r="AO325">
        <v>0</v>
      </c>
      <c r="AP325">
        <v>0</v>
      </c>
      <c r="AQ325">
        <v>0</v>
      </c>
      <c r="AR325">
        <f t="shared" si="1008"/>
        <v>0</v>
      </c>
      <c r="AS325">
        <f>IF(AND(IFERROR(VLOOKUP(AJ325,Equip!$A:$N,13,FALSE),0)&gt;=5,IFERROR(VLOOKUP(AJ325,Equip!$A:$N,13,FALSE),0)&lt;=9),INT(VLOOKUP(AJ325,Equip!$A:$N,6,FALSE)*SQRT(AN325)),0)</f>
        <v>0</v>
      </c>
      <c r="AT325">
        <f>IF(AND(IFERROR(VLOOKUP(AK325,Equip!$A:$N,13,FALSE),0)&gt;=5,IFERROR(VLOOKUP(AK325,Equip!$A:$N,13,FALSE),0)&lt;=9),INT(VLOOKUP(AK325,Equip!$A:$N,6,FALSE)*SQRT(AO325)),0)</f>
        <v>0</v>
      </c>
      <c r="AU325">
        <f>IF(AND(IFERROR(VLOOKUP(AL325,Equip!$A:$N,13,FALSE),0)&gt;=5,IFERROR(VLOOKUP(AL325,Equip!$A:$N,13,FALSE),0)&lt;=9),INT(VLOOKUP(AL325,Equip!$A:$N,6,FALSE)*SQRT(AP325)),0)</f>
        <v>0</v>
      </c>
      <c r="AV325">
        <f>IF(AND(IFERROR(VLOOKUP(AM325,Equip!$A:$N,13,FALSE),0)&gt;=5,IFERROR(VLOOKUP(AM325,Equip!$A:$N,13,FALSE),0)&lt;=9),INT(VLOOKUP(AM325,Equip!$A:$N,6,FALSE)*SQRT(AQ325)),0)</f>
        <v>0</v>
      </c>
      <c r="AW325">
        <f t="shared" si="1009"/>
        <v>0</v>
      </c>
      <c r="AX325">
        <f t="shared" si="1010"/>
        <v>263</v>
      </c>
    </row>
    <row r="326" spans="1:50">
      <c r="A326">
        <v>165</v>
      </c>
      <c r="B326" t="s">
        <v>862</v>
      </c>
      <c r="C326" t="s">
        <v>862</v>
      </c>
      <c r="D326">
        <v>1</v>
      </c>
      <c r="E326">
        <f>E325</f>
        <v>1209</v>
      </c>
      <c r="F326">
        <f t="shared" ref="F326" si="1011">F325</f>
        <v>704</v>
      </c>
      <c r="G326">
        <f t="shared" ref="G326" si="1012">G325</f>
        <v>165</v>
      </c>
      <c r="H326">
        <f t="shared" ref="H326" si="1013">H325</f>
        <v>0</v>
      </c>
      <c r="I326">
        <f t="shared" ref="I326" si="1014">I325</f>
        <v>1</v>
      </c>
      <c r="J326">
        <f t="shared" ref="J326" si="1015">J325</f>
        <v>8</v>
      </c>
      <c r="K326">
        <v>1</v>
      </c>
      <c r="L326">
        <v>1</v>
      </c>
      <c r="M326">
        <v>24</v>
      </c>
      <c r="N326">
        <v>24</v>
      </c>
      <c r="O326">
        <v>13</v>
      </c>
      <c r="P326">
        <v>18</v>
      </c>
      <c r="Q326">
        <v>18</v>
      </c>
      <c r="R326">
        <v>49</v>
      </c>
      <c r="S326">
        <v>25</v>
      </c>
      <c r="T326">
        <v>31</v>
      </c>
      <c r="U326">
        <f t="shared" ref="U326" si="1016">U325</f>
        <v>10</v>
      </c>
      <c r="V326">
        <v>14</v>
      </c>
      <c r="W326">
        <f t="shared" ref="W326" si="1017">W325</f>
        <v>1</v>
      </c>
      <c r="X326">
        <v>14</v>
      </c>
      <c r="Y326">
        <f t="shared" ref="Y326" si="1018">Y325</f>
        <v>0</v>
      </c>
      <c r="Z326">
        <v>15</v>
      </c>
      <c r="AA326">
        <v>15</v>
      </c>
      <c r="AB326">
        <v>34</v>
      </c>
      <c r="AC326">
        <v>69</v>
      </c>
      <c r="AD326">
        <v>49</v>
      </c>
      <c r="AE326">
        <v>39</v>
      </c>
      <c r="AF326">
        <v>59</v>
      </c>
      <c r="AG326">
        <v>89</v>
      </c>
      <c r="AH326">
        <v>63</v>
      </c>
      <c r="AI326">
        <v>39</v>
      </c>
      <c r="AJ326">
        <v>40</v>
      </c>
      <c r="AK326">
        <v>39</v>
      </c>
      <c r="AL326">
        <v>27</v>
      </c>
      <c r="AM326">
        <v>-1</v>
      </c>
      <c r="AN326">
        <v>0</v>
      </c>
      <c r="AO326">
        <v>0</v>
      </c>
      <c r="AP326">
        <v>0</v>
      </c>
      <c r="AQ326">
        <v>0</v>
      </c>
      <c r="AR326">
        <f t="shared" si="1008"/>
        <v>0</v>
      </c>
      <c r="AS326">
        <f>IF(AND(IFERROR(VLOOKUP(AJ326,Equip!$A:$N,13,FALSE),0)&gt;=5,IFERROR(VLOOKUP(AJ326,Equip!$A:$N,13,FALSE),0)&lt;=9),INT(VLOOKUP(AJ326,Equip!$A:$N,6,FALSE)*SQRT(AN326)),0)</f>
        <v>0</v>
      </c>
      <c r="AT326">
        <f>IF(AND(IFERROR(VLOOKUP(AK326,Equip!$A:$N,13,FALSE),0)&gt;=5,IFERROR(VLOOKUP(AK326,Equip!$A:$N,13,FALSE),0)&lt;=9),INT(VLOOKUP(AK326,Equip!$A:$N,6,FALSE)*SQRT(AO326)),0)</f>
        <v>0</v>
      </c>
      <c r="AU326">
        <f>IF(AND(IFERROR(VLOOKUP(AL326,Equip!$A:$N,13,FALSE),0)&gt;=5,IFERROR(VLOOKUP(AL326,Equip!$A:$N,13,FALSE),0)&lt;=9),INT(VLOOKUP(AL326,Equip!$A:$N,6,FALSE)*SQRT(AP326)),0)</f>
        <v>0</v>
      </c>
      <c r="AV326">
        <f>IF(AND(IFERROR(VLOOKUP(AM326,Equip!$A:$N,13,FALSE),0)&gt;=5,IFERROR(VLOOKUP(AM326,Equip!$A:$N,13,FALSE),0)&lt;=9),INT(VLOOKUP(AM326,Equip!$A:$N,6,FALSE)*SQRT(AQ326)),0)</f>
        <v>0</v>
      </c>
      <c r="AW326">
        <f t="shared" si="1009"/>
        <v>0</v>
      </c>
      <c r="AX326">
        <f t="shared" si="1010"/>
        <v>406</v>
      </c>
    </row>
    <row r="327" spans="1:50">
      <c r="A327">
        <v>167</v>
      </c>
      <c r="B327" t="s">
        <v>863</v>
      </c>
      <c r="C327" t="s">
        <v>863</v>
      </c>
      <c r="D327">
        <v>0</v>
      </c>
      <c r="E327">
        <v>1320</v>
      </c>
      <c r="F327">
        <v>760</v>
      </c>
      <c r="G327">
        <v>167</v>
      </c>
      <c r="H327">
        <v>1</v>
      </c>
      <c r="I327">
        <v>1</v>
      </c>
      <c r="J327">
        <v>10</v>
      </c>
      <c r="K327">
        <v>1</v>
      </c>
      <c r="L327">
        <v>1</v>
      </c>
      <c r="M327">
        <v>16</v>
      </c>
      <c r="N327">
        <v>16</v>
      </c>
      <c r="O327">
        <v>10</v>
      </c>
      <c r="P327">
        <v>6</v>
      </c>
      <c r="Q327">
        <v>24</v>
      </c>
      <c r="R327">
        <v>44</v>
      </c>
      <c r="S327">
        <v>14</v>
      </c>
      <c r="T327">
        <v>24</v>
      </c>
      <c r="U327">
        <v>10</v>
      </c>
      <c r="V327">
        <v>6</v>
      </c>
      <c r="W327">
        <v>1</v>
      </c>
      <c r="X327">
        <v>18</v>
      </c>
      <c r="Y327">
        <v>0</v>
      </c>
      <c r="Z327">
        <v>15</v>
      </c>
      <c r="AA327">
        <v>20</v>
      </c>
      <c r="AB327">
        <v>29</v>
      </c>
      <c r="AC327">
        <v>69</v>
      </c>
      <c r="AD327">
        <v>44</v>
      </c>
      <c r="AE327">
        <v>19</v>
      </c>
      <c r="AF327">
        <v>54</v>
      </c>
      <c r="AG327">
        <v>79</v>
      </c>
      <c r="AH327">
        <v>49</v>
      </c>
      <c r="AI327">
        <v>19</v>
      </c>
      <c r="AJ327">
        <v>2</v>
      </c>
      <c r="AK327">
        <v>40</v>
      </c>
      <c r="AL327">
        <v>-1</v>
      </c>
      <c r="AM327">
        <v>-1</v>
      </c>
      <c r="AN327">
        <v>0</v>
      </c>
      <c r="AO327">
        <v>0</v>
      </c>
      <c r="AP327">
        <v>0</v>
      </c>
      <c r="AQ327">
        <v>0</v>
      </c>
      <c r="AR327">
        <f t="shared" si="1008"/>
        <v>0</v>
      </c>
      <c r="AS327">
        <f>IF(AND(IFERROR(VLOOKUP(AJ327,Equip!$A:$N,13,FALSE),0)&gt;=5,IFERROR(VLOOKUP(AJ327,Equip!$A:$N,13,FALSE),0)&lt;=9),INT(VLOOKUP(AJ327,Equip!$A:$N,6,FALSE)*SQRT(AN327)),0)</f>
        <v>0</v>
      </c>
      <c r="AT327">
        <f>IF(AND(IFERROR(VLOOKUP(AK327,Equip!$A:$N,13,FALSE),0)&gt;=5,IFERROR(VLOOKUP(AK327,Equip!$A:$N,13,FALSE),0)&lt;=9),INT(VLOOKUP(AK327,Equip!$A:$N,6,FALSE)*SQRT(AO327)),0)</f>
        <v>0</v>
      </c>
      <c r="AU327">
        <f>IF(AND(IFERROR(VLOOKUP(AL327,Equip!$A:$N,13,FALSE),0)&gt;=5,IFERROR(VLOOKUP(AL327,Equip!$A:$N,13,FALSE),0)&lt;=9),INT(VLOOKUP(AL327,Equip!$A:$N,6,FALSE)*SQRT(AP327)),0)</f>
        <v>0</v>
      </c>
      <c r="AV327">
        <f>IF(AND(IFERROR(VLOOKUP(AM327,Equip!$A:$N,13,FALSE),0)&gt;=5,IFERROR(VLOOKUP(AM327,Equip!$A:$N,13,FALSE),0)&lt;=9),INT(VLOOKUP(AM327,Equip!$A:$N,6,FALSE)*SQRT(AQ327)),0)</f>
        <v>0</v>
      </c>
      <c r="AW327">
        <f t="shared" si="1009"/>
        <v>0</v>
      </c>
      <c r="AX327">
        <f t="shared" si="1010"/>
        <v>324</v>
      </c>
    </row>
    <row r="328" spans="1:50">
      <c r="A328">
        <v>167</v>
      </c>
      <c r="B328" t="s">
        <v>863</v>
      </c>
      <c r="C328" t="s">
        <v>863</v>
      </c>
      <c r="D328">
        <v>1</v>
      </c>
      <c r="E328">
        <f>E327</f>
        <v>1320</v>
      </c>
      <c r="F328">
        <f t="shared" ref="F328" si="1019">F327</f>
        <v>760</v>
      </c>
      <c r="G328">
        <f t="shared" ref="G328" si="1020">G327</f>
        <v>167</v>
      </c>
      <c r="H328">
        <f t="shared" ref="H328" si="1021">H327</f>
        <v>1</v>
      </c>
      <c r="I328">
        <f t="shared" ref="I328" si="1022">I327</f>
        <v>1</v>
      </c>
      <c r="J328">
        <f t="shared" ref="J328" si="1023">J327</f>
        <v>10</v>
      </c>
      <c r="K328">
        <v>1</v>
      </c>
      <c r="L328">
        <v>1</v>
      </c>
      <c r="M328">
        <v>33</v>
      </c>
      <c r="N328">
        <v>33</v>
      </c>
      <c r="O328">
        <v>12</v>
      </c>
      <c r="P328">
        <v>14</v>
      </c>
      <c r="Q328">
        <v>28</v>
      </c>
      <c r="R328">
        <v>47</v>
      </c>
      <c r="S328">
        <v>24</v>
      </c>
      <c r="T328">
        <v>27</v>
      </c>
      <c r="U328">
        <f t="shared" ref="U328" si="1024">U327</f>
        <v>10</v>
      </c>
      <c r="V328">
        <v>9</v>
      </c>
      <c r="W328">
        <f t="shared" ref="W328" si="1025">W327</f>
        <v>1</v>
      </c>
      <c r="X328">
        <v>18</v>
      </c>
      <c r="Y328">
        <f t="shared" ref="Y328" si="1026">Y327</f>
        <v>0</v>
      </c>
      <c r="Z328">
        <v>15</v>
      </c>
      <c r="AA328">
        <v>20</v>
      </c>
      <c r="AB328">
        <v>48</v>
      </c>
      <c r="AC328">
        <v>79</v>
      </c>
      <c r="AD328">
        <v>64</v>
      </c>
      <c r="AE328">
        <v>49</v>
      </c>
      <c r="AF328">
        <v>81</v>
      </c>
      <c r="AG328">
        <v>88</v>
      </c>
      <c r="AH328">
        <v>68</v>
      </c>
      <c r="AI328">
        <v>49</v>
      </c>
      <c r="AJ328">
        <v>91</v>
      </c>
      <c r="AK328">
        <v>44</v>
      </c>
      <c r="AL328">
        <v>106</v>
      </c>
      <c r="AM328">
        <v>-1</v>
      </c>
      <c r="AN328">
        <v>0</v>
      </c>
      <c r="AO328">
        <v>0</v>
      </c>
      <c r="AP328">
        <v>0</v>
      </c>
      <c r="AQ328">
        <v>0</v>
      </c>
      <c r="AR328">
        <f t="shared" si="1008"/>
        <v>0</v>
      </c>
      <c r="AS328">
        <f>IF(AND(IFERROR(VLOOKUP(AJ328,Equip!$A:$N,13,FALSE),0)&gt;=5,IFERROR(VLOOKUP(AJ328,Equip!$A:$N,13,FALSE),0)&lt;=9),INT(VLOOKUP(AJ328,Equip!$A:$N,6,FALSE)*SQRT(AN328)),0)</f>
        <v>0</v>
      </c>
      <c r="AT328">
        <f>IF(AND(IFERROR(VLOOKUP(AK328,Equip!$A:$N,13,FALSE),0)&gt;=5,IFERROR(VLOOKUP(AK328,Equip!$A:$N,13,FALSE),0)&lt;=9),INT(VLOOKUP(AK328,Equip!$A:$N,6,FALSE)*SQRT(AO328)),0)</f>
        <v>0</v>
      </c>
      <c r="AU328">
        <f>IF(AND(IFERROR(VLOOKUP(AL328,Equip!$A:$N,13,FALSE),0)&gt;=5,IFERROR(VLOOKUP(AL328,Equip!$A:$N,13,FALSE),0)&lt;=9),INT(VLOOKUP(AL328,Equip!$A:$N,6,FALSE)*SQRT(AP328)),0)</f>
        <v>0</v>
      </c>
      <c r="AV328">
        <f>IF(AND(IFERROR(VLOOKUP(AM328,Equip!$A:$N,13,FALSE),0)&gt;=5,IFERROR(VLOOKUP(AM328,Equip!$A:$N,13,FALSE),0)&lt;=9),INT(VLOOKUP(AM328,Equip!$A:$N,6,FALSE)*SQRT(AQ328)),0)</f>
        <v>0</v>
      </c>
      <c r="AW328">
        <f t="shared" si="1009"/>
        <v>0</v>
      </c>
      <c r="AX328">
        <f t="shared" si="1010"/>
        <v>478</v>
      </c>
    </row>
    <row r="329" spans="1:50">
      <c r="A329">
        <v>168</v>
      </c>
      <c r="B329" t="s">
        <v>864</v>
      </c>
      <c r="C329" t="s">
        <v>864</v>
      </c>
      <c r="D329">
        <v>0</v>
      </c>
      <c r="E329">
        <v>1320</v>
      </c>
      <c r="F329">
        <v>760</v>
      </c>
      <c r="G329">
        <v>168</v>
      </c>
      <c r="H329">
        <v>1</v>
      </c>
      <c r="I329">
        <v>1</v>
      </c>
      <c r="J329">
        <v>0</v>
      </c>
      <c r="K329">
        <v>1</v>
      </c>
      <c r="L329">
        <v>1</v>
      </c>
      <c r="M329">
        <v>16</v>
      </c>
      <c r="N329">
        <v>16</v>
      </c>
      <c r="O329">
        <v>13</v>
      </c>
      <c r="P329">
        <v>7</v>
      </c>
      <c r="Q329">
        <v>26</v>
      </c>
      <c r="R329">
        <v>45</v>
      </c>
      <c r="S329">
        <v>15</v>
      </c>
      <c r="T329">
        <v>29</v>
      </c>
      <c r="U329">
        <v>10</v>
      </c>
      <c r="V329">
        <v>7</v>
      </c>
      <c r="W329">
        <v>1</v>
      </c>
      <c r="X329">
        <v>13</v>
      </c>
      <c r="Y329">
        <v>0</v>
      </c>
      <c r="Z329">
        <v>15</v>
      </c>
      <c r="AA329">
        <v>15</v>
      </c>
      <c r="AB329">
        <v>29</v>
      </c>
      <c r="AC329">
        <v>69</v>
      </c>
      <c r="AD329">
        <v>40</v>
      </c>
      <c r="AE329">
        <v>19</v>
      </c>
      <c r="AF329">
        <v>49</v>
      </c>
      <c r="AG329">
        <v>79</v>
      </c>
      <c r="AH329">
        <v>49</v>
      </c>
      <c r="AI329">
        <v>19</v>
      </c>
      <c r="AJ329">
        <v>2</v>
      </c>
      <c r="AK329">
        <v>44</v>
      </c>
      <c r="AL329">
        <v>-1</v>
      </c>
      <c r="AM329">
        <v>-1</v>
      </c>
      <c r="AN329">
        <v>0</v>
      </c>
      <c r="AO329">
        <v>0</v>
      </c>
      <c r="AP329">
        <v>0</v>
      </c>
      <c r="AQ329">
        <v>0</v>
      </c>
      <c r="AR329">
        <f t="shared" si="1008"/>
        <v>0</v>
      </c>
      <c r="AS329">
        <f>IF(AND(IFERROR(VLOOKUP(AJ329,Equip!$A:$N,13,FALSE),0)&gt;=5,IFERROR(VLOOKUP(AJ329,Equip!$A:$N,13,FALSE),0)&lt;=9),INT(VLOOKUP(AJ329,Equip!$A:$N,6,FALSE)*SQRT(AN329)),0)</f>
        <v>0</v>
      </c>
      <c r="AT329">
        <f>IF(AND(IFERROR(VLOOKUP(AK329,Equip!$A:$N,13,FALSE),0)&gt;=5,IFERROR(VLOOKUP(AK329,Equip!$A:$N,13,FALSE),0)&lt;=9),INT(VLOOKUP(AK329,Equip!$A:$N,6,FALSE)*SQRT(AO329)),0)</f>
        <v>0</v>
      </c>
      <c r="AU329">
        <f>IF(AND(IFERROR(VLOOKUP(AL329,Equip!$A:$N,13,FALSE),0)&gt;=5,IFERROR(VLOOKUP(AL329,Equip!$A:$N,13,FALSE),0)&lt;=9),INT(VLOOKUP(AL329,Equip!$A:$N,6,FALSE)*SQRT(AP329)),0)</f>
        <v>0</v>
      </c>
      <c r="AV329">
        <f>IF(AND(IFERROR(VLOOKUP(AM329,Equip!$A:$N,13,FALSE),0)&gt;=5,IFERROR(VLOOKUP(AM329,Equip!$A:$N,13,FALSE),0)&lt;=9),INT(VLOOKUP(AM329,Equip!$A:$N,6,FALSE)*SQRT(AQ329)),0)</f>
        <v>0</v>
      </c>
      <c r="AW329">
        <f t="shared" si="1009"/>
        <v>0</v>
      </c>
      <c r="AX329">
        <f t="shared" si="1010"/>
        <v>320</v>
      </c>
    </row>
    <row r="330" spans="1:50">
      <c r="A330">
        <v>168</v>
      </c>
      <c r="B330" t="s">
        <v>864</v>
      </c>
      <c r="C330" t="s">
        <v>864</v>
      </c>
      <c r="D330">
        <v>1</v>
      </c>
      <c r="E330">
        <f>E329</f>
        <v>1320</v>
      </c>
      <c r="F330">
        <f t="shared" ref="F330" si="1027">F329</f>
        <v>760</v>
      </c>
      <c r="G330">
        <f t="shared" ref="G330" si="1028">G329</f>
        <v>168</v>
      </c>
      <c r="H330">
        <f t="shared" ref="H330" si="1029">H329</f>
        <v>1</v>
      </c>
      <c r="I330">
        <f t="shared" ref="I330" si="1030">I329</f>
        <v>1</v>
      </c>
      <c r="J330">
        <f t="shared" ref="J330" si="1031">J329</f>
        <v>0</v>
      </c>
      <c r="K330">
        <v>1</v>
      </c>
      <c r="L330">
        <v>1</v>
      </c>
      <c r="M330">
        <v>32</v>
      </c>
      <c r="N330">
        <v>32</v>
      </c>
      <c r="O330">
        <v>18</v>
      </c>
      <c r="P330">
        <v>19</v>
      </c>
      <c r="Q330">
        <v>36</v>
      </c>
      <c r="R330">
        <v>60</v>
      </c>
      <c r="S330">
        <v>21</v>
      </c>
      <c r="T330">
        <v>43</v>
      </c>
      <c r="U330">
        <f t="shared" ref="U330" si="1032">U329</f>
        <v>10</v>
      </c>
      <c r="V330">
        <v>18</v>
      </c>
      <c r="W330">
        <f t="shared" ref="W330" si="1033">W329</f>
        <v>1</v>
      </c>
      <c r="X330">
        <v>13</v>
      </c>
      <c r="Y330">
        <f t="shared" ref="Y330" si="1034">Y329</f>
        <v>0</v>
      </c>
      <c r="Z330">
        <v>15</v>
      </c>
      <c r="AA330">
        <v>20</v>
      </c>
      <c r="AB330">
        <v>48</v>
      </c>
      <c r="AC330">
        <v>79</v>
      </c>
      <c r="AD330">
        <v>49</v>
      </c>
      <c r="AE330">
        <v>49</v>
      </c>
      <c r="AF330">
        <v>59</v>
      </c>
      <c r="AG330">
        <v>88</v>
      </c>
      <c r="AH330">
        <v>69</v>
      </c>
      <c r="AI330">
        <v>39</v>
      </c>
      <c r="AJ330">
        <v>91</v>
      </c>
      <c r="AK330">
        <v>46</v>
      </c>
      <c r="AL330">
        <v>0</v>
      </c>
      <c r="AM330">
        <v>-1</v>
      </c>
      <c r="AN330">
        <v>0</v>
      </c>
      <c r="AO330">
        <v>0</v>
      </c>
      <c r="AP330">
        <v>0</v>
      </c>
      <c r="AQ330">
        <v>0</v>
      </c>
      <c r="AR330">
        <f t="shared" si="1008"/>
        <v>0</v>
      </c>
      <c r="AS330">
        <f>IF(AND(IFERROR(VLOOKUP(AJ330,Equip!$A:$N,13,FALSE),0)&gt;=5,IFERROR(VLOOKUP(AJ330,Equip!$A:$N,13,FALSE),0)&lt;=9),INT(VLOOKUP(AJ330,Equip!$A:$N,6,FALSE)*SQRT(AN330)),0)</f>
        <v>0</v>
      </c>
      <c r="AT330">
        <f>IF(AND(IFERROR(VLOOKUP(AK330,Equip!$A:$N,13,FALSE),0)&gt;=5,IFERROR(VLOOKUP(AK330,Equip!$A:$N,13,FALSE),0)&lt;=9),INT(VLOOKUP(AK330,Equip!$A:$N,6,FALSE)*SQRT(AO330)),0)</f>
        <v>0</v>
      </c>
      <c r="AU330">
        <f>IF(AND(IFERROR(VLOOKUP(AL330,Equip!$A:$N,13,FALSE),0)&gt;=5,IFERROR(VLOOKUP(AL330,Equip!$A:$N,13,FALSE),0)&lt;=9),INT(VLOOKUP(AL330,Equip!$A:$N,6,FALSE)*SQRT(AP330)),0)</f>
        <v>0</v>
      </c>
      <c r="AV330">
        <f>IF(AND(IFERROR(VLOOKUP(AM330,Equip!$A:$N,13,FALSE),0)&gt;=5,IFERROR(VLOOKUP(AM330,Equip!$A:$N,13,FALSE),0)&lt;=9),INT(VLOOKUP(AM330,Equip!$A:$N,6,FALSE)*SQRT(AQ330)),0)</f>
        <v>0</v>
      </c>
      <c r="AW330">
        <f t="shared" si="1009"/>
        <v>0</v>
      </c>
      <c r="AX330">
        <f t="shared" si="1010"/>
        <v>453</v>
      </c>
    </row>
    <row r="331" spans="1:50">
      <c r="A331">
        <v>169</v>
      </c>
      <c r="B331" t="s">
        <v>865</v>
      </c>
      <c r="C331" t="s">
        <v>865</v>
      </c>
      <c r="D331">
        <v>0</v>
      </c>
      <c r="E331">
        <v>1320</v>
      </c>
      <c r="F331">
        <v>760</v>
      </c>
      <c r="G331">
        <v>169</v>
      </c>
      <c r="H331">
        <v>1</v>
      </c>
      <c r="I331">
        <v>1</v>
      </c>
      <c r="J331">
        <v>0</v>
      </c>
      <c r="K331">
        <v>1</v>
      </c>
      <c r="L331">
        <v>1</v>
      </c>
      <c r="M331">
        <v>16</v>
      </c>
      <c r="N331">
        <v>16</v>
      </c>
      <c r="O331">
        <v>10</v>
      </c>
      <c r="P331">
        <v>6</v>
      </c>
      <c r="Q331">
        <v>24</v>
      </c>
      <c r="R331">
        <v>44</v>
      </c>
      <c r="S331">
        <v>10</v>
      </c>
      <c r="T331">
        <v>24</v>
      </c>
      <c r="U331">
        <v>10</v>
      </c>
      <c r="V331">
        <v>7</v>
      </c>
      <c r="W331">
        <v>1</v>
      </c>
      <c r="X331">
        <v>14</v>
      </c>
      <c r="Y331">
        <v>0</v>
      </c>
      <c r="Z331">
        <v>15</v>
      </c>
      <c r="AA331">
        <v>20</v>
      </c>
      <c r="AB331">
        <v>29</v>
      </c>
      <c r="AC331">
        <v>69</v>
      </c>
      <c r="AD331">
        <v>40</v>
      </c>
      <c r="AE331">
        <v>19</v>
      </c>
      <c r="AF331">
        <v>49</v>
      </c>
      <c r="AG331">
        <v>79</v>
      </c>
      <c r="AH331">
        <v>49</v>
      </c>
      <c r="AI331">
        <v>19</v>
      </c>
      <c r="AJ331">
        <v>2</v>
      </c>
      <c r="AK331">
        <v>44</v>
      </c>
      <c r="AL331">
        <v>-1</v>
      </c>
      <c r="AM331">
        <v>-1</v>
      </c>
      <c r="AN331">
        <v>0</v>
      </c>
      <c r="AO331">
        <v>0</v>
      </c>
      <c r="AP331">
        <v>0</v>
      </c>
      <c r="AQ331">
        <v>0</v>
      </c>
      <c r="AR331">
        <f t="shared" si="1008"/>
        <v>0</v>
      </c>
      <c r="AS331">
        <f>IF(AND(IFERROR(VLOOKUP(AJ331,Equip!$A:$N,13,FALSE),0)&gt;=5,IFERROR(VLOOKUP(AJ331,Equip!$A:$N,13,FALSE),0)&lt;=9),INT(VLOOKUP(AJ331,Equip!$A:$N,6,FALSE)*SQRT(AN331)),0)</f>
        <v>0</v>
      </c>
      <c r="AT331">
        <f>IF(AND(IFERROR(VLOOKUP(AK331,Equip!$A:$N,13,FALSE),0)&gt;=5,IFERROR(VLOOKUP(AK331,Equip!$A:$N,13,FALSE),0)&lt;=9),INT(VLOOKUP(AK331,Equip!$A:$N,6,FALSE)*SQRT(AO331)),0)</f>
        <v>0</v>
      </c>
      <c r="AU331">
        <f>IF(AND(IFERROR(VLOOKUP(AL331,Equip!$A:$N,13,FALSE),0)&gt;=5,IFERROR(VLOOKUP(AL331,Equip!$A:$N,13,FALSE),0)&lt;=9),INT(VLOOKUP(AL331,Equip!$A:$N,6,FALSE)*SQRT(AP331)),0)</f>
        <v>0</v>
      </c>
      <c r="AV331">
        <f>IF(AND(IFERROR(VLOOKUP(AM331,Equip!$A:$N,13,FALSE),0)&gt;=5,IFERROR(VLOOKUP(AM331,Equip!$A:$N,13,FALSE),0)&lt;=9),INT(VLOOKUP(AM331,Equip!$A:$N,6,FALSE)*SQRT(AQ331)),0)</f>
        <v>0</v>
      </c>
      <c r="AW331">
        <f t="shared" si="1009"/>
        <v>0</v>
      </c>
      <c r="AX331">
        <f t="shared" si="1010"/>
        <v>320</v>
      </c>
    </row>
    <row r="332" spans="1:50">
      <c r="A332">
        <v>169</v>
      </c>
      <c r="B332" t="s">
        <v>865</v>
      </c>
      <c r="C332" t="s">
        <v>865</v>
      </c>
      <c r="D332">
        <v>1</v>
      </c>
      <c r="E332">
        <f>E331</f>
        <v>1320</v>
      </c>
      <c r="F332">
        <f t="shared" ref="F332" si="1035">F331</f>
        <v>760</v>
      </c>
      <c r="G332">
        <f t="shared" ref="G332" si="1036">G331</f>
        <v>169</v>
      </c>
      <c r="H332">
        <f t="shared" ref="H332" si="1037">H331</f>
        <v>1</v>
      </c>
      <c r="I332">
        <f t="shared" ref="I332" si="1038">I331</f>
        <v>1</v>
      </c>
      <c r="J332">
        <f t="shared" ref="J332" si="1039">J331</f>
        <v>0</v>
      </c>
      <c r="K332">
        <v>1</v>
      </c>
      <c r="L332">
        <v>1</v>
      </c>
      <c r="M332">
        <v>32</v>
      </c>
      <c r="N332">
        <v>32</v>
      </c>
      <c r="O332">
        <v>21</v>
      </c>
      <c r="P332">
        <v>23</v>
      </c>
      <c r="Q332">
        <v>35</v>
      </c>
      <c r="R332">
        <v>58</v>
      </c>
      <c r="S332">
        <v>25</v>
      </c>
      <c r="T332">
        <v>40</v>
      </c>
      <c r="U332">
        <f t="shared" ref="U332" si="1040">U331</f>
        <v>10</v>
      </c>
      <c r="V332">
        <v>17</v>
      </c>
      <c r="W332">
        <f t="shared" ref="W332" si="1041">W331</f>
        <v>1</v>
      </c>
      <c r="X332">
        <v>16</v>
      </c>
      <c r="Y332">
        <f t="shared" ref="Y332" si="1042">Y331</f>
        <v>0</v>
      </c>
      <c r="Z332">
        <v>15</v>
      </c>
      <c r="AA332">
        <v>20</v>
      </c>
      <c r="AB332">
        <v>48</v>
      </c>
      <c r="AC332">
        <v>79</v>
      </c>
      <c r="AD332">
        <v>49</v>
      </c>
      <c r="AE332">
        <v>49</v>
      </c>
      <c r="AF332">
        <v>59</v>
      </c>
      <c r="AG332">
        <v>88</v>
      </c>
      <c r="AH332">
        <v>68</v>
      </c>
      <c r="AI332">
        <v>39</v>
      </c>
      <c r="AJ332">
        <v>44</v>
      </c>
      <c r="AK332">
        <v>46</v>
      </c>
      <c r="AL332">
        <v>0</v>
      </c>
      <c r="AM332">
        <v>-1</v>
      </c>
      <c r="AN332">
        <v>0</v>
      </c>
      <c r="AO332">
        <v>0</v>
      </c>
      <c r="AP332">
        <v>0</v>
      </c>
      <c r="AQ332">
        <v>0</v>
      </c>
      <c r="AR332">
        <f t="shared" si="1008"/>
        <v>0</v>
      </c>
      <c r="AS332">
        <f>IF(AND(IFERROR(VLOOKUP(AJ332,Equip!$A:$N,13,FALSE),0)&gt;=5,IFERROR(VLOOKUP(AJ332,Equip!$A:$N,13,FALSE),0)&lt;=9),INT(VLOOKUP(AJ332,Equip!$A:$N,6,FALSE)*SQRT(AN332)),0)</f>
        <v>0</v>
      </c>
      <c r="AT332">
        <f>IF(AND(IFERROR(VLOOKUP(AK332,Equip!$A:$N,13,FALSE),0)&gt;=5,IFERROR(VLOOKUP(AK332,Equip!$A:$N,13,FALSE),0)&lt;=9),INT(VLOOKUP(AK332,Equip!$A:$N,6,FALSE)*SQRT(AO332)),0)</f>
        <v>0</v>
      </c>
      <c r="AU332">
        <f>IF(AND(IFERROR(VLOOKUP(AL332,Equip!$A:$N,13,FALSE),0)&gt;=5,IFERROR(VLOOKUP(AL332,Equip!$A:$N,13,FALSE),0)&lt;=9),INT(VLOOKUP(AL332,Equip!$A:$N,6,FALSE)*SQRT(AP332)),0)</f>
        <v>0</v>
      </c>
      <c r="AV332">
        <f>IF(AND(IFERROR(VLOOKUP(AM332,Equip!$A:$N,13,FALSE),0)&gt;=5,IFERROR(VLOOKUP(AM332,Equip!$A:$N,13,FALSE),0)&lt;=9),INT(VLOOKUP(AM332,Equip!$A:$N,6,FALSE)*SQRT(AQ332)),0)</f>
        <v>0</v>
      </c>
      <c r="AW332">
        <f t="shared" si="1009"/>
        <v>0</v>
      </c>
      <c r="AX332">
        <f t="shared" si="1010"/>
        <v>452</v>
      </c>
    </row>
    <row r="333" spans="1:50">
      <c r="A333">
        <v>170</v>
      </c>
      <c r="B333" t="s">
        <v>866</v>
      </c>
      <c r="C333" t="s">
        <v>866</v>
      </c>
      <c r="D333">
        <v>0</v>
      </c>
      <c r="E333">
        <v>1320</v>
      </c>
      <c r="F333">
        <v>760</v>
      </c>
      <c r="G333">
        <v>170</v>
      </c>
      <c r="H333">
        <v>1</v>
      </c>
      <c r="I333">
        <v>1</v>
      </c>
      <c r="J333">
        <v>0</v>
      </c>
      <c r="K333">
        <v>1</v>
      </c>
      <c r="L333">
        <v>1</v>
      </c>
      <c r="M333">
        <v>16</v>
      </c>
      <c r="N333">
        <v>16</v>
      </c>
      <c r="O333">
        <v>10</v>
      </c>
      <c r="P333">
        <v>6</v>
      </c>
      <c r="Q333">
        <v>24</v>
      </c>
      <c r="R333">
        <v>44</v>
      </c>
      <c r="S333">
        <v>13</v>
      </c>
      <c r="T333">
        <v>24</v>
      </c>
      <c r="U333">
        <v>10</v>
      </c>
      <c r="V333">
        <v>6</v>
      </c>
      <c r="W333">
        <v>1</v>
      </c>
      <c r="X333">
        <v>15</v>
      </c>
      <c r="Y333">
        <v>0</v>
      </c>
      <c r="Z333">
        <v>15</v>
      </c>
      <c r="AA333">
        <v>20</v>
      </c>
      <c r="AB333">
        <v>29</v>
      </c>
      <c r="AC333">
        <v>69</v>
      </c>
      <c r="AD333">
        <v>42</v>
      </c>
      <c r="AE333">
        <v>19</v>
      </c>
      <c r="AF333">
        <v>49</v>
      </c>
      <c r="AG333">
        <v>79</v>
      </c>
      <c r="AH333">
        <v>49</v>
      </c>
      <c r="AI333">
        <v>19</v>
      </c>
      <c r="AJ333">
        <v>2</v>
      </c>
      <c r="AK333">
        <v>44</v>
      </c>
      <c r="AL333">
        <v>-1</v>
      </c>
      <c r="AM333">
        <v>-1</v>
      </c>
      <c r="AN333">
        <v>0</v>
      </c>
      <c r="AO333">
        <v>0</v>
      </c>
      <c r="AP333">
        <v>0</v>
      </c>
      <c r="AQ333">
        <v>0</v>
      </c>
      <c r="AR333">
        <f t="shared" si="1008"/>
        <v>0</v>
      </c>
      <c r="AS333">
        <f>IF(AND(IFERROR(VLOOKUP(AJ333,Equip!$A:$N,13,FALSE),0)&gt;=5,IFERROR(VLOOKUP(AJ333,Equip!$A:$N,13,FALSE),0)&lt;=9),INT(VLOOKUP(AJ333,Equip!$A:$N,6,FALSE)*SQRT(AN333)),0)</f>
        <v>0</v>
      </c>
      <c r="AT333">
        <f>IF(AND(IFERROR(VLOOKUP(AK333,Equip!$A:$N,13,FALSE),0)&gt;=5,IFERROR(VLOOKUP(AK333,Equip!$A:$N,13,FALSE),0)&lt;=9),INT(VLOOKUP(AK333,Equip!$A:$N,6,FALSE)*SQRT(AO333)),0)</f>
        <v>0</v>
      </c>
      <c r="AU333">
        <f>IF(AND(IFERROR(VLOOKUP(AL333,Equip!$A:$N,13,FALSE),0)&gt;=5,IFERROR(VLOOKUP(AL333,Equip!$A:$N,13,FALSE),0)&lt;=9),INT(VLOOKUP(AL333,Equip!$A:$N,6,FALSE)*SQRT(AP333)),0)</f>
        <v>0</v>
      </c>
      <c r="AV333">
        <f>IF(AND(IFERROR(VLOOKUP(AM333,Equip!$A:$N,13,FALSE),0)&gt;=5,IFERROR(VLOOKUP(AM333,Equip!$A:$N,13,FALSE),0)&lt;=9),INT(VLOOKUP(AM333,Equip!$A:$N,6,FALSE)*SQRT(AQ333)),0)</f>
        <v>0</v>
      </c>
      <c r="AW333">
        <f t="shared" si="1009"/>
        <v>0</v>
      </c>
      <c r="AX333">
        <f t="shared" si="1010"/>
        <v>322</v>
      </c>
    </row>
    <row r="334" spans="1:50">
      <c r="A334">
        <v>170</v>
      </c>
      <c r="B334" t="s">
        <v>866</v>
      </c>
      <c r="C334" t="s">
        <v>866</v>
      </c>
      <c r="D334">
        <v>1</v>
      </c>
      <c r="E334">
        <f>E333</f>
        <v>1320</v>
      </c>
      <c r="F334">
        <f t="shared" ref="F334" si="1043">F333</f>
        <v>760</v>
      </c>
      <c r="G334">
        <f t="shared" ref="G334" si="1044">G333</f>
        <v>170</v>
      </c>
      <c r="H334">
        <f t="shared" ref="H334" si="1045">H333</f>
        <v>1</v>
      </c>
      <c r="I334">
        <f t="shared" ref="I334" si="1046">I333</f>
        <v>1</v>
      </c>
      <c r="J334">
        <f t="shared" ref="J334" si="1047">J333</f>
        <v>0</v>
      </c>
      <c r="K334">
        <v>1</v>
      </c>
      <c r="L334">
        <v>1</v>
      </c>
      <c r="M334">
        <v>32</v>
      </c>
      <c r="N334">
        <v>32</v>
      </c>
      <c r="O334">
        <v>21</v>
      </c>
      <c r="P334">
        <v>23</v>
      </c>
      <c r="Q334">
        <v>35</v>
      </c>
      <c r="R334">
        <v>58</v>
      </c>
      <c r="S334">
        <v>37</v>
      </c>
      <c r="T334">
        <v>38</v>
      </c>
      <c r="U334">
        <f t="shared" ref="U334" si="1048">U333</f>
        <v>10</v>
      </c>
      <c r="V334">
        <v>22</v>
      </c>
      <c r="W334">
        <f t="shared" ref="W334" si="1049">W333</f>
        <v>1</v>
      </c>
      <c r="X334">
        <v>17</v>
      </c>
      <c r="Y334">
        <f t="shared" ref="Y334" si="1050">Y333</f>
        <v>0</v>
      </c>
      <c r="Z334">
        <v>15</v>
      </c>
      <c r="AA334">
        <v>20</v>
      </c>
      <c r="AB334">
        <v>48</v>
      </c>
      <c r="AC334">
        <v>79</v>
      </c>
      <c r="AD334">
        <v>60</v>
      </c>
      <c r="AE334">
        <v>49</v>
      </c>
      <c r="AF334">
        <v>59</v>
      </c>
      <c r="AG334">
        <v>88</v>
      </c>
      <c r="AH334">
        <v>68</v>
      </c>
      <c r="AI334">
        <v>39</v>
      </c>
      <c r="AJ334">
        <v>40</v>
      </c>
      <c r="AK334">
        <v>28</v>
      </c>
      <c r="AL334">
        <v>0</v>
      </c>
      <c r="AM334">
        <v>-1</v>
      </c>
      <c r="AN334">
        <v>0</v>
      </c>
      <c r="AO334">
        <v>0</v>
      </c>
      <c r="AP334">
        <v>0</v>
      </c>
      <c r="AQ334">
        <v>0</v>
      </c>
      <c r="AR334">
        <f t="shared" si="1008"/>
        <v>0</v>
      </c>
      <c r="AS334">
        <f>IF(AND(IFERROR(VLOOKUP(AJ334,Equip!$A:$N,13,FALSE),0)&gt;=5,IFERROR(VLOOKUP(AJ334,Equip!$A:$N,13,FALSE),0)&lt;=9),INT(VLOOKUP(AJ334,Equip!$A:$N,6,FALSE)*SQRT(AN334)),0)</f>
        <v>0</v>
      </c>
      <c r="AT334">
        <f>IF(AND(IFERROR(VLOOKUP(AK334,Equip!$A:$N,13,FALSE),0)&gt;=5,IFERROR(VLOOKUP(AK334,Equip!$A:$N,13,FALSE),0)&lt;=9),INT(VLOOKUP(AK334,Equip!$A:$N,6,FALSE)*SQRT(AO334)),0)</f>
        <v>0</v>
      </c>
      <c r="AU334">
        <f>IF(AND(IFERROR(VLOOKUP(AL334,Equip!$A:$N,13,FALSE),0)&gt;=5,IFERROR(VLOOKUP(AL334,Equip!$A:$N,13,FALSE),0)&lt;=9),INT(VLOOKUP(AL334,Equip!$A:$N,6,FALSE)*SQRT(AP334)),0)</f>
        <v>0</v>
      </c>
      <c r="AV334">
        <f>IF(AND(IFERROR(VLOOKUP(AM334,Equip!$A:$N,13,FALSE),0)&gt;=5,IFERROR(VLOOKUP(AM334,Equip!$A:$N,13,FALSE),0)&lt;=9),INT(VLOOKUP(AM334,Equip!$A:$N,6,FALSE)*SQRT(AQ334)),0)</f>
        <v>0</v>
      </c>
      <c r="AW334">
        <f t="shared" si="1009"/>
        <v>0</v>
      </c>
      <c r="AX334">
        <f t="shared" si="1010"/>
        <v>463</v>
      </c>
    </row>
    <row r="335" spans="1:50">
      <c r="A335">
        <v>171</v>
      </c>
      <c r="B335" t="s">
        <v>867</v>
      </c>
      <c r="C335" t="s">
        <v>868</v>
      </c>
      <c r="D335">
        <v>0</v>
      </c>
      <c r="E335">
        <v>2856</v>
      </c>
      <c r="F335">
        <v>1528</v>
      </c>
      <c r="G335">
        <v>171</v>
      </c>
      <c r="H335">
        <v>2</v>
      </c>
      <c r="I335">
        <v>2</v>
      </c>
      <c r="J335">
        <v>8</v>
      </c>
      <c r="K335">
        <v>8</v>
      </c>
      <c r="L335">
        <v>8</v>
      </c>
      <c r="M335">
        <v>90</v>
      </c>
      <c r="N335">
        <v>90</v>
      </c>
      <c r="O335">
        <v>88</v>
      </c>
      <c r="P335">
        <v>83</v>
      </c>
      <c r="Q335">
        <v>0</v>
      </c>
      <c r="R335">
        <v>63</v>
      </c>
      <c r="S335">
        <v>48</v>
      </c>
      <c r="T335">
        <v>0</v>
      </c>
      <c r="U335">
        <v>10</v>
      </c>
      <c r="V335">
        <v>42</v>
      </c>
      <c r="W335">
        <v>3</v>
      </c>
      <c r="X335">
        <v>8</v>
      </c>
      <c r="Y335">
        <v>0</v>
      </c>
      <c r="Z335">
        <v>90</v>
      </c>
      <c r="AA335">
        <v>110</v>
      </c>
      <c r="AB335">
        <v>88</v>
      </c>
      <c r="AC335">
        <v>0</v>
      </c>
      <c r="AD335">
        <v>48</v>
      </c>
      <c r="AE335">
        <v>83</v>
      </c>
      <c r="AF335">
        <v>69</v>
      </c>
      <c r="AG335">
        <v>63</v>
      </c>
      <c r="AH335">
        <v>0</v>
      </c>
      <c r="AI335">
        <v>42</v>
      </c>
      <c r="AJ335">
        <v>76</v>
      </c>
      <c r="AK335">
        <v>77</v>
      </c>
      <c r="AL335">
        <v>0</v>
      </c>
      <c r="AM335">
        <v>0</v>
      </c>
      <c r="AN335">
        <v>4</v>
      </c>
      <c r="AO335">
        <v>4</v>
      </c>
      <c r="AP335">
        <v>4</v>
      </c>
      <c r="AQ335">
        <v>4</v>
      </c>
      <c r="AR335">
        <f t="shared" si="1008"/>
        <v>16</v>
      </c>
      <c r="AS335">
        <f>IF(AND(IFERROR(VLOOKUP(AJ335,Equip!$A:$N,13,FALSE),0)&gt;=5,IFERROR(VLOOKUP(AJ335,Equip!$A:$N,13,FALSE),0)&lt;=9),INT(VLOOKUP(AJ335,Equip!$A:$N,6,FALSE)*SQRT(AN335)),0)</f>
        <v>0</v>
      </c>
      <c r="AT335">
        <f>IF(AND(IFERROR(VLOOKUP(AK335,Equip!$A:$N,13,FALSE),0)&gt;=5,IFERROR(VLOOKUP(AK335,Equip!$A:$N,13,FALSE),0)&lt;=9),INT(VLOOKUP(AK335,Equip!$A:$N,6,FALSE)*SQRT(AO335)),0)</f>
        <v>0</v>
      </c>
      <c r="AU335">
        <f>IF(AND(IFERROR(VLOOKUP(AL335,Equip!$A:$N,13,FALSE),0)&gt;=5,IFERROR(VLOOKUP(AL335,Equip!$A:$N,13,FALSE),0)&lt;=9),INT(VLOOKUP(AL335,Equip!$A:$N,6,FALSE)*SQRT(AP335)),0)</f>
        <v>0</v>
      </c>
      <c r="AV335">
        <f>IF(AND(IFERROR(VLOOKUP(AM335,Equip!$A:$N,13,FALSE),0)&gt;=5,IFERROR(VLOOKUP(AM335,Equip!$A:$N,13,FALSE),0)&lt;=9),INT(VLOOKUP(AM335,Equip!$A:$N,6,FALSE)*SQRT(AQ335)),0)</f>
        <v>0</v>
      </c>
      <c r="AW335">
        <f t="shared" si="1009"/>
        <v>0</v>
      </c>
      <c r="AX335">
        <f t="shared" si="1010"/>
        <v>414</v>
      </c>
    </row>
    <row r="336" spans="1:50">
      <c r="A336">
        <v>171</v>
      </c>
      <c r="B336" t="s">
        <v>867</v>
      </c>
      <c r="C336" t="s">
        <v>868</v>
      </c>
      <c r="D336">
        <v>1</v>
      </c>
      <c r="E336">
        <f t="shared" ref="E336:E338" si="1051">E335</f>
        <v>2856</v>
      </c>
      <c r="F336">
        <f t="shared" ref="F336:F338" si="1052">F335</f>
        <v>1528</v>
      </c>
      <c r="G336">
        <f t="shared" ref="G336:G338" si="1053">G335</f>
        <v>171</v>
      </c>
      <c r="H336">
        <f t="shared" ref="H336:H338" si="1054">H335</f>
        <v>2</v>
      </c>
      <c r="I336">
        <f t="shared" ref="I336:I338" si="1055">I335</f>
        <v>2</v>
      </c>
      <c r="J336">
        <f t="shared" ref="J336:J338" si="1056">J335</f>
        <v>8</v>
      </c>
      <c r="K336">
        <v>8</v>
      </c>
      <c r="L336">
        <v>8</v>
      </c>
      <c r="M336">
        <v>94</v>
      </c>
      <c r="N336">
        <v>94</v>
      </c>
      <c r="O336">
        <v>73</v>
      </c>
      <c r="P336">
        <v>81</v>
      </c>
      <c r="Q336">
        <v>0</v>
      </c>
      <c r="R336">
        <v>37</v>
      </c>
      <c r="S336">
        <v>33</v>
      </c>
      <c r="T336">
        <v>0</v>
      </c>
      <c r="U336">
        <f t="shared" ref="U336:U338" si="1057">U335</f>
        <v>10</v>
      </c>
      <c r="V336">
        <v>28</v>
      </c>
      <c r="W336">
        <f t="shared" ref="W336:W338" si="1058">W335</f>
        <v>3</v>
      </c>
      <c r="X336">
        <v>10</v>
      </c>
      <c r="Y336">
        <f t="shared" ref="Y336:Y338" si="1059">Y335</f>
        <v>0</v>
      </c>
      <c r="Z336">
        <v>95</v>
      </c>
      <c r="AA336">
        <v>115</v>
      </c>
      <c r="AB336">
        <v>93</v>
      </c>
      <c r="AC336">
        <v>0</v>
      </c>
      <c r="AD336">
        <v>58</v>
      </c>
      <c r="AE336">
        <v>93</v>
      </c>
      <c r="AF336">
        <v>79</v>
      </c>
      <c r="AG336">
        <v>69</v>
      </c>
      <c r="AH336">
        <v>0</v>
      </c>
      <c r="AI336">
        <v>52</v>
      </c>
      <c r="AJ336">
        <v>76</v>
      </c>
      <c r="AK336">
        <v>77</v>
      </c>
      <c r="AL336">
        <v>0</v>
      </c>
      <c r="AM336">
        <v>0</v>
      </c>
      <c r="AN336">
        <v>4</v>
      </c>
      <c r="AO336">
        <v>4</v>
      </c>
      <c r="AP336">
        <v>4</v>
      </c>
      <c r="AQ336">
        <v>4</v>
      </c>
      <c r="AR336">
        <f t="shared" si="1008"/>
        <v>16</v>
      </c>
      <c r="AS336">
        <f>IF(AND(IFERROR(VLOOKUP(AJ336,Equip!$A:$N,13,FALSE),0)&gt;=5,IFERROR(VLOOKUP(AJ336,Equip!$A:$N,13,FALSE),0)&lt;=9),INT(VLOOKUP(AJ336,Equip!$A:$N,6,FALSE)*SQRT(AN336)),0)</f>
        <v>0</v>
      </c>
      <c r="AT336">
        <f>IF(AND(IFERROR(VLOOKUP(AK336,Equip!$A:$N,13,FALSE),0)&gt;=5,IFERROR(VLOOKUP(AK336,Equip!$A:$N,13,FALSE),0)&lt;=9),INT(VLOOKUP(AK336,Equip!$A:$N,6,FALSE)*SQRT(AO336)),0)</f>
        <v>0</v>
      </c>
      <c r="AU336">
        <f>IF(AND(IFERROR(VLOOKUP(AL336,Equip!$A:$N,13,FALSE),0)&gt;=5,IFERROR(VLOOKUP(AL336,Equip!$A:$N,13,FALSE),0)&lt;=9),INT(VLOOKUP(AL336,Equip!$A:$N,6,FALSE)*SQRT(AP336)),0)</f>
        <v>0</v>
      </c>
      <c r="AV336">
        <f>IF(AND(IFERROR(VLOOKUP(AM336,Equip!$A:$N,13,FALSE),0)&gt;=5,IFERROR(VLOOKUP(AM336,Equip!$A:$N,13,FALSE),0)&lt;=9),INT(VLOOKUP(AM336,Equip!$A:$N,6,FALSE)*SQRT(AQ336)),0)</f>
        <v>0</v>
      </c>
      <c r="AW336">
        <f t="shared" si="1009"/>
        <v>0</v>
      </c>
      <c r="AX336">
        <f t="shared" si="1010"/>
        <v>459</v>
      </c>
    </row>
    <row r="337" spans="1:50">
      <c r="A337">
        <v>171</v>
      </c>
      <c r="B337" t="s">
        <v>867</v>
      </c>
      <c r="C337" t="s">
        <v>868</v>
      </c>
      <c r="D337">
        <v>2</v>
      </c>
      <c r="E337">
        <f t="shared" si="1051"/>
        <v>2856</v>
      </c>
      <c r="F337">
        <f t="shared" si="1052"/>
        <v>1528</v>
      </c>
      <c r="G337">
        <f t="shared" si="1053"/>
        <v>171</v>
      </c>
      <c r="H337">
        <f t="shared" si="1054"/>
        <v>2</v>
      </c>
      <c r="I337">
        <f t="shared" si="1055"/>
        <v>2</v>
      </c>
      <c r="J337">
        <f t="shared" si="1056"/>
        <v>8</v>
      </c>
      <c r="K337">
        <v>8</v>
      </c>
      <c r="L337">
        <v>8</v>
      </c>
      <c r="M337">
        <v>96</v>
      </c>
      <c r="N337">
        <v>96</v>
      </c>
      <c r="O337">
        <v>81</v>
      </c>
      <c r="P337">
        <v>83</v>
      </c>
      <c r="Q337">
        <v>0</v>
      </c>
      <c r="R337">
        <v>55</v>
      </c>
      <c r="S337">
        <v>40</v>
      </c>
      <c r="T337">
        <v>0</v>
      </c>
      <c r="U337">
        <f t="shared" si="1057"/>
        <v>10</v>
      </c>
      <c r="V337">
        <v>36</v>
      </c>
      <c r="W337">
        <f t="shared" si="1058"/>
        <v>3</v>
      </c>
      <c r="X337">
        <v>20</v>
      </c>
      <c r="Y337">
        <f t="shared" si="1059"/>
        <v>0</v>
      </c>
      <c r="Z337">
        <v>105</v>
      </c>
      <c r="AA337">
        <v>135</v>
      </c>
      <c r="AB337">
        <v>97</v>
      </c>
      <c r="AC337">
        <v>0</v>
      </c>
      <c r="AD337">
        <v>62</v>
      </c>
      <c r="AE337">
        <v>94</v>
      </c>
      <c r="AF337">
        <v>82</v>
      </c>
      <c r="AG337">
        <v>72</v>
      </c>
      <c r="AH337">
        <v>0</v>
      </c>
      <c r="AI337">
        <v>52</v>
      </c>
      <c r="AJ337">
        <v>76</v>
      </c>
      <c r="AK337">
        <v>85</v>
      </c>
      <c r="AL337">
        <v>84</v>
      </c>
      <c r="AM337">
        <v>0</v>
      </c>
      <c r="AN337">
        <v>4</v>
      </c>
      <c r="AO337">
        <v>4</v>
      </c>
      <c r="AP337">
        <v>4</v>
      </c>
      <c r="AQ337">
        <v>4</v>
      </c>
      <c r="AR337">
        <f t="shared" si="1008"/>
        <v>16</v>
      </c>
      <c r="AS337">
        <f>IF(AND(IFERROR(VLOOKUP(AJ337,Equip!$A:$N,13,FALSE),0)&gt;=5,IFERROR(VLOOKUP(AJ337,Equip!$A:$N,13,FALSE),0)&lt;=9),INT(VLOOKUP(AJ337,Equip!$A:$N,6,FALSE)*SQRT(AN337)),0)</f>
        <v>0</v>
      </c>
      <c r="AT337">
        <f>IF(AND(IFERROR(VLOOKUP(AK337,Equip!$A:$N,13,FALSE),0)&gt;=5,IFERROR(VLOOKUP(AK337,Equip!$A:$N,13,FALSE),0)&lt;=9),INT(VLOOKUP(AK337,Equip!$A:$N,6,FALSE)*SQRT(AO337)),0)</f>
        <v>0</v>
      </c>
      <c r="AU337">
        <f>IF(AND(IFERROR(VLOOKUP(AL337,Equip!$A:$N,13,FALSE),0)&gt;=5,IFERROR(VLOOKUP(AL337,Equip!$A:$N,13,FALSE),0)&lt;=9),INT(VLOOKUP(AL337,Equip!$A:$N,6,FALSE)*SQRT(AP337)),0)</f>
        <v>0</v>
      </c>
      <c r="AV337">
        <f>IF(AND(IFERROR(VLOOKUP(AM337,Equip!$A:$N,13,FALSE),0)&gt;=5,IFERROR(VLOOKUP(AM337,Equip!$A:$N,13,FALSE),0)&lt;=9),INT(VLOOKUP(AM337,Equip!$A:$N,6,FALSE)*SQRT(AQ337)),0)</f>
        <v>0</v>
      </c>
      <c r="AW337">
        <f t="shared" si="1009"/>
        <v>0</v>
      </c>
      <c r="AX337">
        <f t="shared" si="1010"/>
        <v>473</v>
      </c>
    </row>
    <row r="338" spans="1:50">
      <c r="A338">
        <v>171</v>
      </c>
      <c r="B338" t="s">
        <v>867</v>
      </c>
      <c r="C338" t="s">
        <v>868</v>
      </c>
      <c r="D338">
        <v>3</v>
      </c>
      <c r="E338">
        <f t="shared" si="1051"/>
        <v>2856</v>
      </c>
      <c r="F338">
        <f t="shared" si="1052"/>
        <v>1528</v>
      </c>
      <c r="G338">
        <f t="shared" si="1053"/>
        <v>171</v>
      </c>
      <c r="H338">
        <f t="shared" si="1054"/>
        <v>2</v>
      </c>
      <c r="I338">
        <f t="shared" si="1055"/>
        <v>2</v>
      </c>
      <c r="J338">
        <f t="shared" si="1056"/>
        <v>8</v>
      </c>
      <c r="K338">
        <v>8</v>
      </c>
      <c r="L338">
        <v>8</v>
      </c>
      <c r="M338">
        <v>96</v>
      </c>
      <c r="N338">
        <v>96</v>
      </c>
      <c r="O338">
        <v>82</v>
      </c>
      <c r="P338">
        <v>86</v>
      </c>
      <c r="Q338">
        <v>29</v>
      </c>
      <c r="R338">
        <v>65</v>
      </c>
      <c r="S338">
        <v>46</v>
      </c>
      <c r="T338">
        <v>0</v>
      </c>
      <c r="U338">
        <f t="shared" si="1057"/>
        <v>10</v>
      </c>
      <c r="V338">
        <v>50</v>
      </c>
      <c r="W338">
        <f t="shared" si="1058"/>
        <v>3</v>
      </c>
      <c r="X338">
        <v>22</v>
      </c>
      <c r="Y338">
        <f t="shared" si="1059"/>
        <v>0</v>
      </c>
      <c r="Z338">
        <v>110</v>
      </c>
      <c r="AA338">
        <v>155</v>
      </c>
      <c r="AB338">
        <v>99</v>
      </c>
      <c r="AC338">
        <v>36</v>
      </c>
      <c r="AD338">
        <v>70</v>
      </c>
      <c r="AE338">
        <v>95</v>
      </c>
      <c r="AF338">
        <v>84</v>
      </c>
      <c r="AG338">
        <v>74</v>
      </c>
      <c r="AH338">
        <v>0</v>
      </c>
      <c r="AI338">
        <v>59</v>
      </c>
      <c r="AJ338">
        <v>114</v>
      </c>
      <c r="AK338">
        <v>114</v>
      </c>
      <c r="AL338">
        <v>85</v>
      </c>
      <c r="AM338">
        <v>115</v>
      </c>
      <c r="AN338">
        <v>4</v>
      </c>
      <c r="AO338">
        <v>4</v>
      </c>
      <c r="AP338">
        <v>4</v>
      </c>
      <c r="AQ338">
        <v>4</v>
      </c>
      <c r="AR338">
        <f t="shared" si="1008"/>
        <v>16</v>
      </c>
      <c r="AS338">
        <f>IF(AND(IFERROR(VLOOKUP(AJ338,Equip!$A:$N,13,FALSE),0)&gt;=5,IFERROR(VLOOKUP(AJ338,Equip!$A:$N,13,FALSE),0)&lt;=9),INT(VLOOKUP(AJ338,Equip!$A:$N,6,FALSE)*SQRT(AN338)),0)</f>
        <v>0</v>
      </c>
      <c r="AT338">
        <f>IF(AND(IFERROR(VLOOKUP(AK338,Equip!$A:$N,13,FALSE),0)&gt;=5,IFERROR(VLOOKUP(AK338,Equip!$A:$N,13,FALSE),0)&lt;=9),INT(VLOOKUP(AK338,Equip!$A:$N,6,FALSE)*SQRT(AO338)),0)</f>
        <v>0</v>
      </c>
      <c r="AU338">
        <f>IF(AND(IFERROR(VLOOKUP(AL338,Equip!$A:$N,13,FALSE),0)&gt;=5,IFERROR(VLOOKUP(AL338,Equip!$A:$N,13,FALSE),0)&lt;=9),INT(VLOOKUP(AL338,Equip!$A:$N,6,FALSE)*SQRT(AP338)),0)</f>
        <v>0</v>
      </c>
      <c r="AV338">
        <f>IF(AND(IFERROR(VLOOKUP(AM338,Equip!$A:$N,13,FALSE),0)&gt;=5,IFERROR(VLOOKUP(AM338,Equip!$A:$N,13,FALSE),0)&lt;=9),INT(VLOOKUP(AM338,Equip!$A:$N,6,FALSE)*SQRT(AQ338)),0)</f>
        <v>0</v>
      </c>
      <c r="AW338">
        <f t="shared" si="1009"/>
        <v>0</v>
      </c>
      <c r="AX338">
        <f t="shared" si="1010"/>
        <v>529</v>
      </c>
    </row>
    <row r="339" spans="1:50">
      <c r="A339">
        <v>174</v>
      </c>
      <c r="B339" t="s">
        <v>869</v>
      </c>
      <c r="C339" t="s">
        <v>870</v>
      </c>
      <c r="D339">
        <v>0</v>
      </c>
      <c r="E339">
        <v>1387</v>
      </c>
      <c r="F339">
        <v>793</v>
      </c>
      <c r="G339">
        <v>174</v>
      </c>
      <c r="H339">
        <v>0</v>
      </c>
      <c r="I339">
        <v>2</v>
      </c>
      <c r="J339">
        <v>0</v>
      </c>
      <c r="K339">
        <v>1</v>
      </c>
      <c r="L339">
        <v>1</v>
      </c>
      <c r="M339">
        <v>18</v>
      </c>
      <c r="N339">
        <v>18</v>
      </c>
      <c r="O339">
        <v>8</v>
      </c>
      <c r="P339">
        <v>8</v>
      </c>
      <c r="Q339">
        <v>24</v>
      </c>
      <c r="R339">
        <v>36</v>
      </c>
      <c r="S339">
        <v>12</v>
      </c>
      <c r="T339">
        <v>32</v>
      </c>
      <c r="U339">
        <v>10</v>
      </c>
      <c r="V339">
        <v>6</v>
      </c>
      <c r="W339">
        <v>1</v>
      </c>
      <c r="X339">
        <v>6</v>
      </c>
      <c r="Y339">
        <v>0</v>
      </c>
      <c r="Z339">
        <v>20</v>
      </c>
      <c r="AA339">
        <v>20</v>
      </c>
      <c r="AB339">
        <v>26</v>
      </c>
      <c r="AC339">
        <v>60</v>
      </c>
      <c r="AD339">
        <v>42</v>
      </c>
      <c r="AE339">
        <v>22</v>
      </c>
      <c r="AF339">
        <v>39</v>
      </c>
      <c r="AG339">
        <v>76</v>
      </c>
      <c r="AH339">
        <v>64</v>
      </c>
      <c r="AI339">
        <v>24</v>
      </c>
      <c r="AJ339">
        <v>78</v>
      </c>
      <c r="AK339">
        <v>0</v>
      </c>
      <c r="AL339">
        <v>0</v>
      </c>
      <c r="AM339">
        <v>-1</v>
      </c>
      <c r="AN339">
        <v>0</v>
      </c>
      <c r="AO339">
        <v>0</v>
      </c>
      <c r="AP339">
        <v>0</v>
      </c>
      <c r="AQ339">
        <v>0</v>
      </c>
      <c r="AR339">
        <f t="shared" si="1008"/>
        <v>0</v>
      </c>
      <c r="AS339">
        <f>IF(AND(IFERROR(VLOOKUP(AJ339,Equip!$A:$N,13,FALSE),0)&gt;=5,IFERROR(VLOOKUP(AJ339,Equip!$A:$N,13,FALSE),0)&lt;=9),INT(VLOOKUP(AJ339,Equip!$A:$N,6,FALSE)*SQRT(AN339)),0)</f>
        <v>0</v>
      </c>
      <c r="AT339">
        <f>IF(AND(IFERROR(VLOOKUP(AK339,Equip!$A:$N,13,FALSE),0)&gt;=5,IFERROR(VLOOKUP(AK339,Equip!$A:$N,13,FALSE),0)&lt;=9),INT(VLOOKUP(AK339,Equip!$A:$N,6,FALSE)*SQRT(AO339)),0)</f>
        <v>0</v>
      </c>
      <c r="AU339">
        <f>IF(AND(IFERROR(VLOOKUP(AL339,Equip!$A:$N,13,FALSE),0)&gt;=5,IFERROR(VLOOKUP(AL339,Equip!$A:$N,13,FALSE),0)&lt;=9),INT(VLOOKUP(AL339,Equip!$A:$N,6,FALSE)*SQRT(AP339)),0)</f>
        <v>0</v>
      </c>
      <c r="AV339">
        <f>IF(AND(IFERROR(VLOOKUP(AM339,Equip!$A:$N,13,FALSE),0)&gt;=5,IFERROR(VLOOKUP(AM339,Equip!$A:$N,13,FALSE),0)&lt;=9),INT(VLOOKUP(AM339,Equip!$A:$N,6,FALSE)*SQRT(AQ339)),0)</f>
        <v>0</v>
      </c>
      <c r="AW339">
        <f t="shared" si="1009"/>
        <v>0</v>
      </c>
      <c r="AX339">
        <f t="shared" si="1010"/>
        <v>332</v>
      </c>
    </row>
    <row r="340" spans="1:50">
      <c r="A340">
        <v>174</v>
      </c>
      <c r="B340" t="s">
        <v>869</v>
      </c>
      <c r="C340" t="s">
        <v>870</v>
      </c>
      <c r="D340">
        <v>1</v>
      </c>
      <c r="E340">
        <f t="shared" ref="E340:E341" si="1060">E339</f>
        <v>1387</v>
      </c>
      <c r="F340">
        <f t="shared" ref="F340:F341" si="1061">F339</f>
        <v>793</v>
      </c>
      <c r="G340">
        <f t="shared" ref="G340:G341" si="1062">G339</f>
        <v>174</v>
      </c>
      <c r="H340">
        <f t="shared" ref="H340:H341" si="1063">H339</f>
        <v>0</v>
      </c>
      <c r="I340">
        <f t="shared" ref="I340:I341" si="1064">I339</f>
        <v>2</v>
      </c>
      <c r="J340">
        <f t="shared" ref="J340:J341" si="1065">J339</f>
        <v>0</v>
      </c>
      <c r="K340">
        <v>1</v>
      </c>
      <c r="L340">
        <v>1</v>
      </c>
      <c r="M340">
        <v>33</v>
      </c>
      <c r="N340">
        <v>33</v>
      </c>
      <c r="O340">
        <v>16</v>
      </c>
      <c r="P340">
        <v>19</v>
      </c>
      <c r="Q340">
        <v>31</v>
      </c>
      <c r="R340">
        <v>52</v>
      </c>
      <c r="S340">
        <v>19</v>
      </c>
      <c r="T340">
        <v>46</v>
      </c>
      <c r="U340">
        <f t="shared" ref="U340:U341" si="1066">U339</f>
        <v>10</v>
      </c>
      <c r="V340">
        <v>18</v>
      </c>
      <c r="W340">
        <f t="shared" ref="W340:W341" si="1067">W339</f>
        <v>1</v>
      </c>
      <c r="X340">
        <v>12</v>
      </c>
      <c r="Y340">
        <f t="shared" ref="Y340:Y341" si="1068">Y339</f>
        <v>0</v>
      </c>
      <c r="Z340">
        <v>20</v>
      </c>
      <c r="AA340">
        <v>25</v>
      </c>
      <c r="AB340">
        <v>45</v>
      </c>
      <c r="AC340">
        <v>70</v>
      </c>
      <c r="AD340">
        <v>45</v>
      </c>
      <c r="AE340">
        <v>45</v>
      </c>
      <c r="AF340">
        <v>49</v>
      </c>
      <c r="AG340">
        <v>79</v>
      </c>
      <c r="AH340">
        <v>69</v>
      </c>
      <c r="AI340">
        <v>42</v>
      </c>
      <c r="AJ340">
        <v>78</v>
      </c>
      <c r="AK340">
        <v>0</v>
      </c>
      <c r="AL340">
        <v>0</v>
      </c>
      <c r="AM340">
        <v>-1</v>
      </c>
      <c r="AN340">
        <v>0</v>
      </c>
      <c r="AO340">
        <v>0</v>
      </c>
      <c r="AP340">
        <v>0</v>
      </c>
      <c r="AQ340">
        <v>0</v>
      </c>
      <c r="AR340">
        <f t="shared" si="1008"/>
        <v>0</v>
      </c>
      <c r="AS340">
        <f>IF(AND(IFERROR(VLOOKUP(AJ340,Equip!$A:$N,13,FALSE),0)&gt;=5,IFERROR(VLOOKUP(AJ340,Equip!$A:$N,13,FALSE),0)&lt;=9),INT(VLOOKUP(AJ340,Equip!$A:$N,6,FALSE)*SQRT(AN340)),0)</f>
        <v>0</v>
      </c>
      <c r="AT340">
        <f>IF(AND(IFERROR(VLOOKUP(AK340,Equip!$A:$N,13,FALSE),0)&gt;=5,IFERROR(VLOOKUP(AK340,Equip!$A:$N,13,FALSE),0)&lt;=9),INT(VLOOKUP(AK340,Equip!$A:$N,6,FALSE)*SQRT(AO340)),0)</f>
        <v>0</v>
      </c>
      <c r="AU340">
        <f>IF(AND(IFERROR(VLOOKUP(AL340,Equip!$A:$N,13,FALSE),0)&gt;=5,IFERROR(VLOOKUP(AL340,Equip!$A:$N,13,FALSE),0)&lt;=9),INT(VLOOKUP(AL340,Equip!$A:$N,6,FALSE)*SQRT(AP340)),0)</f>
        <v>0</v>
      </c>
      <c r="AV340">
        <f>IF(AND(IFERROR(VLOOKUP(AM340,Equip!$A:$N,13,FALSE),0)&gt;=5,IFERROR(VLOOKUP(AM340,Equip!$A:$N,13,FALSE),0)&lt;=9),INT(VLOOKUP(AM340,Equip!$A:$N,6,FALSE)*SQRT(AQ340)),0)</f>
        <v>0</v>
      </c>
      <c r="AW340">
        <f t="shared" si="1009"/>
        <v>0</v>
      </c>
      <c r="AX340">
        <f t="shared" si="1010"/>
        <v>428</v>
      </c>
    </row>
    <row r="341" spans="1:50">
      <c r="A341">
        <v>174</v>
      </c>
      <c r="B341" t="s">
        <v>869</v>
      </c>
      <c r="C341" t="s">
        <v>870</v>
      </c>
      <c r="D341">
        <v>2</v>
      </c>
      <c r="E341">
        <f t="shared" si="1060"/>
        <v>1387</v>
      </c>
      <c r="F341">
        <f t="shared" si="1061"/>
        <v>793</v>
      </c>
      <c r="G341">
        <f t="shared" si="1062"/>
        <v>174</v>
      </c>
      <c r="H341">
        <f t="shared" si="1063"/>
        <v>0</v>
      </c>
      <c r="I341">
        <f t="shared" si="1064"/>
        <v>2</v>
      </c>
      <c r="J341">
        <f t="shared" si="1065"/>
        <v>0</v>
      </c>
      <c r="K341">
        <v>1</v>
      </c>
      <c r="L341">
        <v>1</v>
      </c>
      <c r="M341">
        <v>35</v>
      </c>
      <c r="N341">
        <v>35</v>
      </c>
      <c r="O341">
        <v>23</v>
      </c>
      <c r="P341">
        <v>28</v>
      </c>
      <c r="Q341">
        <v>52</v>
      </c>
      <c r="R341">
        <v>71</v>
      </c>
      <c r="S341">
        <v>33</v>
      </c>
      <c r="T341">
        <v>59</v>
      </c>
      <c r="U341">
        <f t="shared" si="1066"/>
        <v>10</v>
      </c>
      <c r="V341">
        <v>33</v>
      </c>
      <c r="W341">
        <f t="shared" si="1067"/>
        <v>1</v>
      </c>
      <c r="X341">
        <v>15</v>
      </c>
      <c r="Y341">
        <f t="shared" si="1068"/>
        <v>0</v>
      </c>
      <c r="Z341">
        <v>20</v>
      </c>
      <c r="AA341">
        <v>25</v>
      </c>
      <c r="AB341">
        <v>49</v>
      </c>
      <c r="AC341">
        <v>71</v>
      </c>
      <c r="AD341">
        <v>64</v>
      </c>
      <c r="AE341">
        <v>53</v>
      </c>
      <c r="AF341">
        <v>49</v>
      </c>
      <c r="AG341">
        <v>84</v>
      </c>
      <c r="AH341">
        <v>69</v>
      </c>
      <c r="AI341">
        <v>43</v>
      </c>
      <c r="AJ341">
        <v>84</v>
      </c>
      <c r="AK341">
        <v>78</v>
      </c>
      <c r="AL341">
        <v>0</v>
      </c>
      <c r="AM341">
        <v>-1</v>
      </c>
      <c r="AN341">
        <v>0</v>
      </c>
      <c r="AO341">
        <v>0</v>
      </c>
      <c r="AP341">
        <v>0</v>
      </c>
      <c r="AQ341">
        <v>0</v>
      </c>
      <c r="AR341">
        <f t="shared" si="1008"/>
        <v>0</v>
      </c>
      <c r="AS341">
        <f>IF(AND(IFERROR(VLOOKUP(AJ341,Equip!$A:$N,13,FALSE),0)&gt;=5,IFERROR(VLOOKUP(AJ341,Equip!$A:$N,13,FALSE),0)&lt;=9),INT(VLOOKUP(AJ341,Equip!$A:$N,6,FALSE)*SQRT(AN341)),0)</f>
        <v>0</v>
      </c>
      <c r="AT341">
        <f>IF(AND(IFERROR(VLOOKUP(AK341,Equip!$A:$N,13,FALSE),0)&gt;=5,IFERROR(VLOOKUP(AK341,Equip!$A:$N,13,FALSE),0)&lt;=9),INT(VLOOKUP(AK341,Equip!$A:$N,6,FALSE)*SQRT(AO341)),0)</f>
        <v>0</v>
      </c>
      <c r="AU341">
        <f>IF(AND(IFERROR(VLOOKUP(AL341,Equip!$A:$N,13,FALSE),0)&gt;=5,IFERROR(VLOOKUP(AL341,Equip!$A:$N,13,FALSE),0)&lt;=9),INT(VLOOKUP(AL341,Equip!$A:$N,6,FALSE)*SQRT(AP341)),0)</f>
        <v>0</v>
      </c>
      <c r="AV341">
        <f>IF(AND(IFERROR(VLOOKUP(AM341,Equip!$A:$N,13,FALSE),0)&gt;=5,IFERROR(VLOOKUP(AM341,Equip!$A:$N,13,FALSE),0)&lt;=9),INT(VLOOKUP(AM341,Equip!$A:$N,6,FALSE)*SQRT(AQ341)),0)</f>
        <v>0</v>
      </c>
      <c r="AW341">
        <f t="shared" si="1009"/>
        <v>0</v>
      </c>
      <c r="AX341">
        <f t="shared" si="1010"/>
        <v>468</v>
      </c>
    </row>
    <row r="342" spans="1:50">
      <c r="A342">
        <v>175</v>
      </c>
      <c r="B342" t="s">
        <v>871</v>
      </c>
      <c r="C342" t="s">
        <v>872</v>
      </c>
      <c r="D342">
        <v>0</v>
      </c>
      <c r="E342">
        <v>1387</v>
      </c>
      <c r="F342">
        <v>793</v>
      </c>
      <c r="G342">
        <v>175</v>
      </c>
      <c r="H342">
        <v>0</v>
      </c>
      <c r="I342">
        <v>2</v>
      </c>
      <c r="J342">
        <v>10</v>
      </c>
      <c r="K342">
        <v>1</v>
      </c>
      <c r="L342">
        <v>1</v>
      </c>
      <c r="M342">
        <v>18</v>
      </c>
      <c r="N342">
        <v>18</v>
      </c>
      <c r="O342">
        <v>8</v>
      </c>
      <c r="P342">
        <v>8</v>
      </c>
      <c r="Q342">
        <v>24</v>
      </c>
      <c r="R342">
        <v>36</v>
      </c>
      <c r="S342">
        <v>12</v>
      </c>
      <c r="T342">
        <v>32</v>
      </c>
      <c r="U342">
        <v>10</v>
      </c>
      <c r="V342">
        <v>6</v>
      </c>
      <c r="W342">
        <v>1</v>
      </c>
      <c r="X342">
        <v>6</v>
      </c>
      <c r="Y342">
        <v>0</v>
      </c>
      <c r="Z342">
        <v>20</v>
      </c>
      <c r="AA342">
        <v>20</v>
      </c>
      <c r="AB342">
        <v>26</v>
      </c>
      <c r="AC342">
        <v>60</v>
      </c>
      <c r="AD342">
        <v>42</v>
      </c>
      <c r="AE342">
        <v>22</v>
      </c>
      <c r="AF342">
        <v>39</v>
      </c>
      <c r="AG342">
        <v>76</v>
      </c>
      <c r="AH342">
        <v>64</v>
      </c>
      <c r="AI342">
        <v>24</v>
      </c>
      <c r="AJ342">
        <v>78</v>
      </c>
      <c r="AK342">
        <v>0</v>
      </c>
      <c r="AL342">
        <v>0</v>
      </c>
      <c r="AM342">
        <v>-1</v>
      </c>
      <c r="AN342">
        <v>0</v>
      </c>
      <c r="AO342">
        <v>0</v>
      </c>
      <c r="AP342">
        <v>0</v>
      </c>
      <c r="AQ342">
        <v>0</v>
      </c>
      <c r="AR342">
        <f t="shared" si="1008"/>
        <v>0</v>
      </c>
      <c r="AS342">
        <f>IF(AND(IFERROR(VLOOKUP(AJ342,Equip!$A:$N,13,FALSE),0)&gt;=5,IFERROR(VLOOKUP(AJ342,Equip!$A:$N,13,FALSE),0)&lt;=9),INT(VLOOKUP(AJ342,Equip!$A:$N,6,FALSE)*SQRT(AN342)),0)</f>
        <v>0</v>
      </c>
      <c r="AT342">
        <f>IF(AND(IFERROR(VLOOKUP(AK342,Equip!$A:$N,13,FALSE),0)&gt;=5,IFERROR(VLOOKUP(AK342,Equip!$A:$N,13,FALSE),0)&lt;=9),INT(VLOOKUP(AK342,Equip!$A:$N,6,FALSE)*SQRT(AO342)),0)</f>
        <v>0</v>
      </c>
      <c r="AU342">
        <f>IF(AND(IFERROR(VLOOKUP(AL342,Equip!$A:$N,13,FALSE),0)&gt;=5,IFERROR(VLOOKUP(AL342,Equip!$A:$N,13,FALSE),0)&lt;=9),INT(VLOOKUP(AL342,Equip!$A:$N,6,FALSE)*SQRT(AP342)),0)</f>
        <v>0</v>
      </c>
      <c r="AV342">
        <f>IF(AND(IFERROR(VLOOKUP(AM342,Equip!$A:$N,13,FALSE),0)&gt;=5,IFERROR(VLOOKUP(AM342,Equip!$A:$N,13,FALSE),0)&lt;=9),INT(VLOOKUP(AM342,Equip!$A:$N,6,FALSE)*SQRT(AQ342)),0)</f>
        <v>0</v>
      </c>
      <c r="AW342">
        <f t="shared" si="1009"/>
        <v>0</v>
      </c>
      <c r="AX342">
        <f t="shared" si="1010"/>
        <v>332</v>
      </c>
    </row>
    <row r="343" spans="1:50">
      <c r="A343">
        <v>175</v>
      </c>
      <c r="B343" t="s">
        <v>871</v>
      </c>
      <c r="C343" t="s">
        <v>872</v>
      </c>
      <c r="D343">
        <v>1</v>
      </c>
      <c r="E343">
        <f t="shared" ref="E343:E344" si="1069">E342</f>
        <v>1387</v>
      </c>
      <c r="F343">
        <f t="shared" ref="F343:F344" si="1070">F342</f>
        <v>793</v>
      </c>
      <c r="G343">
        <f t="shared" ref="G343:G344" si="1071">G342</f>
        <v>175</v>
      </c>
      <c r="H343">
        <f t="shared" ref="H343:H344" si="1072">H342</f>
        <v>0</v>
      </c>
      <c r="I343">
        <f t="shared" ref="I343:I344" si="1073">I342</f>
        <v>2</v>
      </c>
      <c r="J343">
        <f t="shared" ref="J343:J344" si="1074">J342</f>
        <v>10</v>
      </c>
      <c r="K343">
        <v>1</v>
      </c>
      <c r="L343">
        <v>1</v>
      </c>
      <c r="M343">
        <v>33</v>
      </c>
      <c r="N343">
        <v>33</v>
      </c>
      <c r="O343">
        <v>16</v>
      </c>
      <c r="P343">
        <v>23</v>
      </c>
      <c r="Q343">
        <v>31</v>
      </c>
      <c r="R343">
        <v>52</v>
      </c>
      <c r="S343">
        <v>19</v>
      </c>
      <c r="T343">
        <v>46</v>
      </c>
      <c r="U343">
        <f t="shared" ref="U343:U344" si="1075">U342</f>
        <v>10</v>
      </c>
      <c r="V343">
        <v>18</v>
      </c>
      <c r="W343">
        <f t="shared" ref="W343:W344" si="1076">W342</f>
        <v>1</v>
      </c>
      <c r="X343">
        <v>12</v>
      </c>
      <c r="Y343">
        <f t="shared" ref="Y343:Y344" si="1077">Y342</f>
        <v>0</v>
      </c>
      <c r="Z343">
        <v>20</v>
      </c>
      <c r="AA343">
        <v>25</v>
      </c>
      <c r="AB343">
        <v>45</v>
      </c>
      <c r="AC343">
        <v>70</v>
      </c>
      <c r="AD343">
        <v>45</v>
      </c>
      <c r="AE343">
        <v>45</v>
      </c>
      <c r="AF343">
        <v>49</v>
      </c>
      <c r="AG343">
        <v>79</v>
      </c>
      <c r="AH343">
        <v>69</v>
      </c>
      <c r="AI343">
        <v>42</v>
      </c>
      <c r="AJ343">
        <v>78</v>
      </c>
      <c r="AK343">
        <v>0</v>
      </c>
      <c r="AL343">
        <v>0</v>
      </c>
      <c r="AM343">
        <v>-1</v>
      </c>
      <c r="AN343">
        <v>0</v>
      </c>
      <c r="AO343">
        <v>0</v>
      </c>
      <c r="AP343">
        <v>0</v>
      </c>
      <c r="AQ343">
        <v>0</v>
      </c>
      <c r="AR343">
        <f t="shared" si="1008"/>
        <v>0</v>
      </c>
      <c r="AS343">
        <f>IF(AND(IFERROR(VLOOKUP(AJ343,Equip!$A:$N,13,FALSE),0)&gt;=5,IFERROR(VLOOKUP(AJ343,Equip!$A:$N,13,FALSE),0)&lt;=9),INT(VLOOKUP(AJ343,Equip!$A:$N,6,FALSE)*SQRT(AN343)),0)</f>
        <v>0</v>
      </c>
      <c r="AT343">
        <f>IF(AND(IFERROR(VLOOKUP(AK343,Equip!$A:$N,13,FALSE),0)&gt;=5,IFERROR(VLOOKUP(AK343,Equip!$A:$N,13,FALSE),0)&lt;=9),INT(VLOOKUP(AK343,Equip!$A:$N,6,FALSE)*SQRT(AO343)),0)</f>
        <v>0</v>
      </c>
      <c r="AU343">
        <f>IF(AND(IFERROR(VLOOKUP(AL343,Equip!$A:$N,13,FALSE),0)&gt;=5,IFERROR(VLOOKUP(AL343,Equip!$A:$N,13,FALSE),0)&lt;=9),INT(VLOOKUP(AL343,Equip!$A:$N,6,FALSE)*SQRT(AP343)),0)</f>
        <v>0</v>
      </c>
      <c r="AV343">
        <f>IF(AND(IFERROR(VLOOKUP(AM343,Equip!$A:$N,13,FALSE),0)&gt;=5,IFERROR(VLOOKUP(AM343,Equip!$A:$N,13,FALSE),0)&lt;=9),INT(VLOOKUP(AM343,Equip!$A:$N,6,FALSE)*SQRT(AQ343)),0)</f>
        <v>0</v>
      </c>
      <c r="AW343">
        <f t="shared" si="1009"/>
        <v>0</v>
      </c>
      <c r="AX343">
        <f t="shared" si="1010"/>
        <v>428</v>
      </c>
    </row>
    <row r="344" spans="1:50">
      <c r="A344">
        <v>175</v>
      </c>
      <c r="B344" t="s">
        <v>871</v>
      </c>
      <c r="C344" t="s">
        <v>872</v>
      </c>
      <c r="D344">
        <v>2</v>
      </c>
      <c r="E344">
        <f t="shared" si="1069"/>
        <v>1387</v>
      </c>
      <c r="F344">
        <f t="shared" si="1070"/>
        <v>793</v>
      </c>
      <c r="G344">
        <f t="shared" si="1071"/>
        <v>175</v>
      </c>
      <c r="H344">
        <f t="shared" si="1072"/>
        <v>0</v>
      </c>
      <c r="I344">
        <f t="shared" si="1073"/>
        <v>2</v>
      </c>
      <c r="J344">
        <f t="shared" si="1074"/>
        <v>10</v>
      </c>
      <c r="K344">
        <v>1</v>
      </c>
      <c r="L344">
        <v>1</v>
      </c>
      <c r="M344">
        <v>35</v>
      </c>
      <c r="N344">
        <v>35</v>
      </c>
      <c r="O344">
        <v>21</v>
      </c>
      <c r="P344">
        <v>38</v>
      </c>
      <c r="Q344">
        <v>40</v>
      </c>
      <c r="R344">
        <v>71</v>
      </c>
      <c r="S344">
        <v>37</v>
      </c>
      <c r="T344">
        <v>59</v>
      </c>
      <c r="U344">
        <f t="shared" si="1075"/>
        <v>10</v>
      </c>
      <c r="V344">
        <v>33</v>
      </c>
      <c r="W344">
        <f t="shared" si="1076"/>
        <v>1</v>
      </c>
      <c r="X344">
        <v>15</v>
      </c>
      <c r="Y344">
        <f t="shared" si="1077"/>
        <v>0</v>
      </c>
      <c r="Z344">
        <v>20</v>
      </c>
      <c r="AA344">
        <v>25</v>
      </c>
      <c r="AB344">
        <v>47</v>
      </c>
      <c r="AC344">
        <v>71</v>
      </c>
      <c r="AD344">
        <v>68</v>
      </c>
      <c r="AE344">
        <v>53</v>
      </c>
      <c r="AF344">
        <v>49</v>
      </c>
      <c r="AG344">
        <v>84</v>
      </c>
      <c r="AH344">
        <v>69</v>
      </c>
      <c r="AI344">
        <v>43</v>
      </c>
      <c r="AJ344">
        <v>84</v>
      </c>
      <c r="AK344">
        <v>78</v>
      </c>
      <c r="AL344">
        <v>0</v>
      </c>
      <c r="AM344">
        <v>-1</v>
      </c>
      <c r="AN344">
        <v>0</v>
      </c>
      <c r="AO344">
        <v>0</v>
      </c>
      <c r="AP344">
        <v>0</v>
      </c>
      <c r="AQ344">
        <v>0</v>
      </c>
      <c r="AR344">
        <f t="shared" si="1008"/>
        <v>0</v>
      </c>
      <c r="AS344">
        <f>IF(AND(IFERROR(VLOOKUP(AJ344,Equip!$A:$N,13,FALSE),0)&gt;=5,IFERROR(VLOOKUP(AJ344,Equip!$A:$N,13,FALSE),0)&lt;=9),INT(VLOOKUP(AJ344,Equip!$A:$N,6,FALSE)*SQRT(AN344)),0)</f>
        <v>0</v>
      </c>
      <c r="AT344">
        <f>IF(AND(IFERROR(VLOOKUP(AK344,Equip!$A:$N,13,FALSE),0)&gt;=5,IFERROR(VLOOKUP(AK344,Equip!$A:$N,13,FALSE),0)&lt;=9),INT(VLOOKUP(AK344,Equip!$A:$N,6,FALSE)*SQRT(AO344)),0)</f>
        <v>0</v>
      </c>
      <c r="AU344">
        <f>IF(AND(IFERROR(VLOOKUP(AL344,Equip!$A:$N,13,FALSE),0)&gt;=5,IFERROR(VLOOKUP(AL344,Equip!$A:$N,13,FALSE),0)&lt;=9),INT(VLOOKUP(AL344,Equip!$A:$N,6,FALSE)*SQRT(AP344)),0)</f>
        <v>0</v>
      </c>
      <c r="AV344">
        <f>IF(AND(IFERROR(VLOOKUP(AM344,Equip!$A:$N,13,FALSE),0)&gt;=5,IFERROR(VLOOKUP(AM344,Equip!$A:$N,13,FALSE),0)&lt;=9),INT(VLOOKUP(AM344,Equip!$A:$N,6,FALSE)*SQRT(AQ344)),0)</f>
        <v>0</v>
      </c>
      <c r="AW344">
        <f t="shared" si="1009"/>
        <v>0</v>
      </c>
      <c r="AX344">
        <f t="shared" si="1010"/>
        <v>470</v>
      </c>
    </row>
    <row r="345" spans="1:50">
      <c r="A345">
        <v>176</v>
      </c>
      <c r="B345" t="s">
        <v>1216</v>
      </c>
      <c r="C345" t="s">
        <v>873</v>
      </c>
      <c r="D345">
        <v>0</v>
      </c>
      <c r="E345">
        <v>2179</v>
      </c>
      <c r="F345">
        <v>1189</v>
      </c>
      <c r="G345">
        <v>176</v>
      </c>
      <c r="H345">
        <v>1</v>
      </c>
      <c r="I345">
        <v>2</v>
      </c>
      <c r="J345">
        <v>3</v>
      </c>
      <c r="K345">
        <v>3</v>
      </c>
      <c r="L345">
        <v>4</v>
      </c>
      <c r="M345">
        <v>50</v>
      </c>
      <c r="N345">
        <v>50</v>
      </c>
      <c r="O345">
        <v>38</v>
      </c>
      <c r="P345">
        <v>38</v>
      </c>
      <c r="Q345">
        <v>32</v>
      </c>
      <c r="R345">
        <v>34</v>
      </c>
      <c r="S345">
        <v>16</v>
      </c>
      <c r="T345">
        <v>0</v>
      </c>
      <c r="U345">
        <v>10</v>
      </c>
      <c r="V345">
        <v>15</v>
      </c>
      <c r="W345">
        <v>2</v>
      </c>
      <c r="X345">
        <v>30</v>
      </c>
      <c r="Y345">
        <v>0</v>
      </c>
      <c r="Z345">
        <v>50</v>
      </c>
      <c r="AA345">
        <v>70</v>
      </c>
      <c r="AB345">
        <v>56</v>
      </c>
      <c r="AC345">
        <v>64</v>
      </c>
      <c r="AD345">
        <v>44</v>
      </c>
      <c r="AE345">
        <v>64</v>
      </c>
      <c r="AF345">
        <v>79</v>
      </c>
      <c r="AG345">
        <v>68</v>
      </c>
      <c r="AH345">
        <v>0</v>
      </c>
      <c r="AI345">
        <v>40</v>
      </c>
      <c r="AJ345">
        <v>123</v>
      </c>
      <c r="AK345">
        <v>115</v>
      </c>
      <c r="AL345">
        <v>0</v>
      </c>
      <c r="AM345">
        <v>-1</v>
      </c>
      <c r="AN345">
        <v>3</v>
      </c>
      <c r="AO345">
        <v>3</v>
      </c>
      <c r="AP345">
        <v>3</v>
      </c>
      <c r="AQ345">
        <v>0</v>
      </c>
      <c r="AR345">
        <f t="shared" si="1008"/>
        <v>9</v>
      </c>
      <c r="AS345">
        <f>IF(AND(IFERROR(VLOOKUP(AJ345,Equip!$A:$N,13,FALSE),0)&gt;=5,IFERROR(VLOOKUP(AJ345,Equip!$A:$N,13,FALSE),0)&lt;=9),INT(VLOOKUP(AJ345,Equip!$A:$N,6,FALSE)*SQRT(AN345)),0)</f>
        <v>0</v>
      </c>
      <c r="AT345">
        <f>IF(AND(IFERROR(VLOOKUP(AK345,Equip!$A:$N,13,FALSE),0)&gt;=5,IFERROR(VLOOKUP(AK345,Equip!$A:$N,13,FALSE),0)&lt;=9),INT(VLOOKUP(AK345,Equip!$A:$N,6,FALSE)*SQRT(AO345)),0)</f>
        <v>0</v>
      </c>
      <c r="AU345">
        <f>IF(AND(IFERROR(VLOOKUP(AL345,Equip!$A:$N,13,FALSE),0)&gt;=5,IFERROR(VLOOKUP(AL345,Equip!$A:$N,13,FALSE),0)&lt;=9),INT(VLOOKUP(AL345,Equip!$A:$N,6,FALSE)*SQRT(AP345)),0)</f>
        <v>0</v>
      </c>
      <c r="AV345">
        <f>IF(AND(IFERROR(VLOOKUP(AM345,Equip!$A:$N,13,FALSE),0)&gt;=5,IFERROR(VLOOKUP(AM345,Equip!$A:$N,13,FALSE),0)&lt;=9),INT(VLOOKUP(AM345,Equip!$A:$N,6,FALSE)*SQRT(AQ345)),0)</f>
        <v>0</v>
      </c>
      <c r="AW345">
        <f t="shared" si="1009"/>
        <v>0</v>
      </c>
      <c r="AX345">
        <f t="shared" si="1010"/>
        <v>386</v>
      </c>
    </row>
    <row r="346" spans="1:50">
      <c r="A346">
        <v>176</v>
      </c>
      <c r="B346" t="s">
        <v>1216</v>
      </c>
      <c r="C346" t="s">
        <v>873</v>
      </c>
      <c r="D346">
        <v>1</v>
      </c>
      <c r="E346">
        <f>E345</f>
        <v>2179</v>
      </c>
      <c r="F346">
        <f t="shared" ref="F346" si="1078">F345</f>
        <v>1189</v>
      </c>
      <c r="G346">
        <f t="shared" ref="G346" si="1079">G345</f>
        <v>176</v>
      </c>
      <c r="H346">
        <f t="shared" ref="H346" si="1080">H345</f>
        <v>1</v>
      </c>
      <c r="I346">
        <f t="shared" ref="I346" si="1081">I345</f>
        <v>2</v>
      </c>
      <c r="J346">
        <f t="shared" ref="J346" si="1082">J345</f>
        <v>3</v>
      </c>
      <c r="K346">
        <v>3</v>
      </c>
      <c r="L346">
        <v>4</v>
      </c>
      <c r="M346">
        <v>63</v>
      </c>
      <c r="N346">
        <v>63</v>
      </c>
      <c r="O346">
        <v>71</v>
      </c>
      <c r="P346">
        <v>61</v>
      </c>
      <c r="Q346">
        <v>57</v>
      </c>
      <c r="R346">
        <v>55</v>
      </c>
      <c r="S346">
        <v>40</v>
      </c>
      <c r="T346">
        <v>0</v>
      </c>
      <c r="U346">
        <f t="shared" ref="U346" si="1083">U345</f>
        <v>10</v>
      </c>
      <c r="V346">
        <v>40</v>
      </c>
      <c r="W346">
        <f t="shared" ref="W346" si="1084">W345</f>
        <v>2</v>
      </c>
      <c r="X346">
        <v>40</v>
      </c>
      <c r="Y346">
        <f t="shared" ref="Y346" si="1085">Y345</f>
        <v>0</v>
      </c>
      <c r="Z346">
        <v>55</v>
      </c>
      <c r="AA346">
        <v>75</v>
      </c>
      <c r="AB346">
        <v>75</v>
      </c>
      <c r="AC346">
        <v>84</v>
      </c>
      <c r="AD346">
        <v>60</v>
      </c>
      <c r="AE346">
        <v>82</v>
      </c>
      <c r="AF346">
        <v>89</v>
      </c>
      <c r="AG346">
        <v>74</v>
      </c>
      <c r="AH346">
        <v>0</v>
      </c>
      <c r="AI346">
        <v>50</v>
      </c>
      <c r="AJ346">
        <v>123</v>
      </c>
      <c r="AK346">
        <v>84</v>
      </c>
      <c r="AL346">
        <v>124</v>
      </c>
      <c r="AM346">
        <v>0</v>
      </c>
      <c r="AN346">
        <v>3</v>
      </c>
      <c r="AO346">
        <v>3</v>
      </c>
      <c r="AP346">
        <v>3</v>
      </c>
      <c r="AQ346">
        <v>3</v>
      </c>
      <c r="AR346">
        <f t="shared" si="1008"/>
        <v>12</v>
      </c>
      <c r="AS346">
        <f>IF(AND(IFERROR(VLOOKUP(AJ346,Equip!$A:$N,13,FALSE),0)&gt;=5,IFERROR(VLOOKUP(AJ346,Equip!$A:$N,13,FALSE),0)&lt;=9),INT(VLOOKUP(AJ346,Equip!$A:$N,6,FALSE)*SQRT(AN346)),0)</f>
        <v>0</v>
      </c>
      <c r="AT346">
        <f>IF(AND(IFERROR(VLOOKUP(AK346,Equip!$A:$N,13,FALSE),0)&gt;=5,IFERROR(VLOOKUP(AK346,Equip!$A:$N,13,FALSE),0)&lt;=9),INT(VLOOKUP(AK346,Equip!$A:$N,6,FALSE)*SQRT(AO346)),0)</f>
        <v>0</v>
      </c>
      <c r="AU346">
        <f>IF(AND(IFERROR(VLOOKUP(AL346,Equip!$A:$N,13,FALSE),0)&gt;=5,IFERROR(VLOOKUP(AL346,Equip!$A:$N,13,FALSE),0)&lt;=9),INT(VLOOKUP(AL346,Equip!$A:$N,6,FALSE)*SQRT(AP346)),0)</f>
        <v>0</v>
      </c>
      <c r="AV346">
        <f>IF(AND(IFERROR(VLOOKUP(AM346,Equip!$A:$N,13,FALSE),0)&gt;=5,IFERROR(VLOOKUP(AM346,Equip!$A:$N,13,FALSE),0)&lt;=9),INT(VLOOKUP(AM346,Equip!$A:$N,6,FALSE)*SQRT(AQ346)),0)</f>
        <v>0</v>
      </c>
      <c r="AW346">
        <f t="shared" si="1009"/>
        <v>0</v>
      </c>
      <c r="AX346">
        <f t="shared" si="1010"/>
        <v>488</v>
      </c>
    </row>
    <row r="347" spans="1:50">
      <c r="A347">
        <v>181</v>
      </c>
      <c r="B347" t="s">
        <v>874</v>
      </c>
      <c r="C347" t="s">
        <v>874</v>
      </c>
      <c r="D347">
        <v>0</v>
      </c>
      <c r="E347">
        <v>1387</v>
      </c>
      <c r="F347">
        <v>793</v>
      </c>
      <c r="G347">
        <v>181</v>
      </c>
      <c r="H347">
        <v>1</v>
      </c>
      <c r="I347">
        <v>1</v>
      </c>
      <c r="J347">
        <v>9</v>
      </c>
      <c r="K347">
        <v>1</v>
      </c>
      <c r="L347">
        <v>1</v>
      </c>
      <c r="M347">
        <v>18</v>
      </c>
      <c r="N347">
        <v>18</v>
      </c>
      <c r="O347">
        <v>10</v>
      </c>
      <c r="P347">
        <v>7</v>
      </c>
      <c r="Q347">
        <v>28</v>
      </c>
      <c r="R347">
        <v>43</v>
      </c>
      <c r="S347">
        <v>12</v>
      </c>
      <c r="T347">
        <v>26</v>
      </c>
      <c r="U347">
        <v>10</v>
      </c>
      <c r="V347">
        <v>8</v>
      </c>
      <c r="W347">
        <v>1</v>
      </c>
      <c r="X347">
        <v>18</v>
      </c>
      <c r="Y347">
        <v>0</v>
      </c>
      <c r="Z347">
        <v>20</v>
      </c>
      <c r="AA347">
        <v>20</v>
      </c>
      <c r="AB347">
        <v>29</v>
      </c>
      <c r="AC347">
        <v>79</v>
      </c>
      <c r="AD347">
        <v>53</v>
      </c>
      <c r="AE347">
        <v>25</v>
      </c>
      <c r="AF347">
        <v>59</v>
      </c>
      <c r="AG347">
        <v>89</v>
      </c>
      <c r="AH347">
        <v>54</v>
      </c>
      <c r="AI347">
        <v>19</v>
      </c>
      <c r="AJ347">
        <v>2</v>
      </c>
      <c r="AK347">
        <v>15</v>
      </c>
      <c r="AL347">
        <v>34</v>
      </c>
      <c r="AM347">
        <v>-1</v>
      </c>
      <c r="AN347">
        <v>0</v>
      </c>
      <c r="AO347">
        <v>0</v>
      </c>
      <c r="AP347">
        <v>0</v>
      </c>
      <c r="AQ347">
        <v>0</v>
      </c>
      <c r="AR347">
        <f t="shared" si="1008"/>
        <v>0</v>
      </c>
      <c r="AS347">
        <f>IF(AND(IFERROR(VLOOKUP(AJ347,Equip!$A:$N,13,FALSE),0)&gt;=5,IFERROR(VLOOKUP(AJ347,Equip!$A:$N,13,FALSE),0)&lt;=9),INT(VLOOKUP(AJ347,Equip!$A:$N,6,FALSE)*SQRT(AN347)),0)</f>
        <v>0</v>
      </c>
      <c r="AT347">
        <f>IF(AND(IFERROR(VLOOKUP(AK347,Equip!$A:$N,13,FALSE),0)&gt;=5,IFERROR(VLOOKUP(AK347,Equip!$A:$N,13,FALSE),0)&lt;=9),INT(VLOOKUP(AK347,Equip!$A:$N,6,FALSE)*SQRT(AO347)),0)</f>
        <v>0</v>
      </c>
      <c r="AU347">
        <f>IF(AND(IFERROR(VLOOKUP(AL347,Equip!$A:$N,13,FALSE),0)&gt;=5,IFERROR(VLOOKUP(AL347,Equip!$A:$N,13,FALSE),0)&lt;=9),INT(VLOOKUP(AL347,Equip!$A:$N,6,FALSE)*SQRT(AP347)),0)</f>
        <v>0</v>
      </c>
      <c r="AV347">
        <f>IF(AND(IFERROR(VLOOKUP(AM347,Equip!$A:$N,13,FALSE),0)&gt;=5,IFERROR(VLOOKUP(AM347,Equip!$A:$N,13,FALSE),0)&lt;=9),INT(VLOOKUP(AM347,Equip!$A:$N,6,FALSE)*SQRT(AQ347)),0)</f>
        <v>0</v>
      </c>
      <c r="AW347">
        <f t="shared" si="1009"/>
        <v>0</v>
      </c>
      <c r="AX347">
        <f t="shared" si="1010"/>
        <v>366</v>
      </c>
    </row>
    <row r="348" spans="1:50">
      <c r="A348">
        <v>181</v>
      </c>
      <c r="B348" t="s">
        <v>874</v>
      </c>
      <c r="C348" t="s">
        <v>874</v>
      </c>
      <c r="D348">
        <v>1</v>
      </c>
      <c r="E348">
        <f>E347</f>
        <v>1387</v>
      </c>
      <c r="F348">
        <f t="shared" ref="F348" si="1086">F347</f>
        <v>793</v>
      </c>
      <c r="G348">
        <f t="shared" ref="G348" si="1087">G347</f>
        <v>181</v>
      </c>
      <c r="H348">
        <f t="shared" ref="H348" si="1088">H347</f>
        <v>1</v>
      </c>
      <c r="I348">
        <f t="shared" ref="I348" si="1089">I347</f>
        <v>1</v>
      </c>
      <c r="J348">
        <f t="shared" ref="J348" si="1090">J347</f>
        <v>9</v>
      </c>
      <c r="K348">
        <v>1</v>
      </c>
      <c r="L348">
        <v>1</v>
      </c>
      <c r="M348">
        <v>34</v>
      </c>
      <c r="N348">
        <v>34</v>
      </c>
      <c r="O348">
        <v>15</v>
      </c>
      <c r="P348">
        <v>22</v>
      </c>
      <c r="Q348">
        <v>37</v>
      </c>
      <c r="R348">
        <v>58</v>
      </c>
      <c r="S348">
        <v>30</v>
      </c>
      <c r="T348">
        <v>34</v>
      </c>
      <c r="U348">
        <f t="shared" ref="U348" si="1091">U347</f>
        <v>10</v>
      </c>
      <c r="V348">
        <v>15</v>
      </c>
      <c r="W348">
        <f t="shared" ref="W348" si="1092">W347</f>
        <v>1</v>
      </c>
      <c r="X348">
        <v>17</v>
      </c>
      <c r="Y348">
        <f t="shared" ref="Y348" si="1093">Y347</f>
        <v>0</v>
      </c>
      <c r="Z348">
        <v>20</v>
      </c>
      <c r="AA348">
        <v>20</v>
      </c>
      <c r="AB348">
        <v>49</v>
      </c>
      <c r="AC348">
        <v>84</v>
      </c>
      <c r="AD348">
        <v>63</v>
      </c>
      <c r="AE348">
        <v>61</v>
      </c>
      <c r="AF348">
        <v>69</v>
      </c>
      <c r="AG348">
        <v>94</v>
      </c>
      <c r="AH348">
        <v>59</v>
      </c>
      <c r="AI348">
        <v>39</v>
      </c>
      <c r="AJ348">
        <v>15</v>
      </c>
      <c r="AK348">
        <v>47</v>
      </c>
      <c r="AL348">
        <v>87</v>
      </c>
      <c r="AM348">
        <v>-1</v>
      </c>
      <c r="AN348">
        <v>0</v>
      </c>
      <c r="AO348">
        <v>0</v>
      </c>
      <c r="AP348">
        <v>0</v>
      </c>
      <c r="AQ348">
        <v>0</v>
      </c>
      <c r="AR348">
        <f t="shared" si="1008"/>
        <v>0</v>
      </c>
      <c r="AS348">
        <f>IF(AND(IFERROR(VLOOKUP(AJ348,Equip!$A:$N,13,FALSE),0)&gt;=5,IFERROR(VLOOKUP(AJ348,Equip!$A:$N,13,FALSE),0)&lt;=9),INT(VLOOKUP(AJ348,Equip!$A:$N,6,FALSE)*SQRT(AN348)),0)</f>
        <v>0</v>
      </c>
      <c r="AT348">
        <f>IF(AND(IFERROR(VLOOKUP(AK348,Equip!$A:$N,13,FALSE),0)&gt;=5,IFERROR(VLOOKUP(AK348,Equip!$A:$N,13,FALSE),0)&lt;=9),INT(VLOOKUP(AK348,Equip!$A:$N,6,FALSE)*SQRT(AO348)),0)</f>
        <v>0</v>
      </c>
      <c r="AU348">
        <f>IF(AND(IFERROR(VLOOKUP(AL348,Equip!$A:$N,13,FALSE),0)&gt;=5,IFERROR(VLOOKUP(AL348,Equip!$A:$N,13,FALSE),0)&lt;=9),INT(VLOOKUP(AL348,Equip!$A:$N,6,FALSE)*SQRT(AP348)),0)</f>
        <v>0</v>
      </c>
      <c r="AV348">
        <f>IF(AND(IFERROR(VLOOKUP(AM348,Equip!$A:$N,13,FALSE),0)&gt;=5,IFERROR(VLOOKUP(AM348,Equip!$A:$N,13,FALSE),0)&lt;=9),INT(VLOOKUP(AM348,Equip!$A:$N,6,FALSE)*SQRT(AQ348)),0)</f>
        <v>0</v>
      </c>
      <c r="AW348">
        <f t="shared" si="1009"/>
        <v>0</v>
      </c>
      <c r="AX348">
        <f t="shared" si="1010"/>
        <v>483</v>
      </c>
    </row>
    <row r="349" spans="1:50">
      <c r="A349">
        <v>182</v>
      </c>
      <c r="B349" t="s">
        <v>875</v>
      </c>
      <c r="C349" t="s">
        <v>875</v>
      </c>
      <c r="D349">
        <v>0</v>
      </c>
      <c r="E349">
        <v>1948</v>
      </c>
      <c r="F349">
        <v>1074</v>
      </c>
      <c r="G349">
        <v>182</v>
      </c>
      <c r="H349">
        <v>2</v>
      </c>
      <c r="I349">
        <v>1</v>
      </c>
      <c r="J349">
        <v>0</v>
      </c>
      <c r="K349">
        <v>16</v>
      </c>
      <c r="L349">
        <v>4</v>
      </c>
      <c r="M349">
        <v>39</v>
      </c>
      <c r="N349">
        <v>39</v>
      </c>
      <c r="O349">
        <v>4</v>
      </c>
      <c r="P349">
        <v>7</v>
      </c>
      <c r="Q349">
        <v>0</v>
      </c>
      <c r="R349">
        <v>8</v>
      </c>
      <c r="S349">
        <v>14</v>
      </c>
      <c r="T349">
        <v>0</v>
      </c>
      <c r="U349">
        <v>5</v>
      </c>
      <c r="V349">
        <v>1</v>
      </c>
      <c r="W349">
        <v>1</v>
      </c>
      <c r="X349">
        <v>10</v>
      </c>
      <c r="Y349">
        <v>0</v>
      </c>
      <c r="Z349">
        <v>50</v>
      </c>
      <c r="AA349">
        <v>10</v>
      </c>
      <c r="AB349">
        <v>14</v>
      </c>
      <c r="AC349">
        <v>0</v>
      </c>
      <c r="AD349">
        <v>24</v>
      </c>
      <c r="AE349">
        <v>19</v>
      </c>
      <c r="AF349">
        <v>39</v>
      </c>
      <c r="AG349">
        <v>29</v>
      </c>
      <c r="AH349">
        <v>0</v>
      </c>
      <c r="AI349">
        <v>5</v>
      </c>
      <c r="AJ349">
        <v>86</v>
      </c>
      <c r="AK349">
        <v>39</v>
      </c>
      <c r="AL349">
        <v>0</v>
      </c>
      <c r="AM349">
        <v>-1</v>
      </c>
      <c r="AN349">
        <v>0</v>
      </c>
      <c r="AO349">
        <v>0</v>
      </c>
      <c r="AP349">
        <v>0</v>
      </c>
      <c r="AQ349">
        <v>0</v>
      </c>
      <c r="AR349">
        <f t="shared" si="1008"/>
        <v>0</v>
      </c>
      <c r="AS349">
        <f>IF(AND(IFERROR(VLOOKUP(AJ349,Equip!$A:$N,13,FALSE),0)&gt;=5,IFERROR(VLOOKUP(AJ349,Equip!$A:$N,13,FALSE),0)&lt;=9),INT(VLOOKUP(AJ349,Equip!$A:$N,6,FALSE)*SQRT(AN349)),0)</f>
        <v>0</v>
      </c>
      <c r="AT349">
        <f>IF(AND(IFERROR(VLOOKUP(AK349,Equip!$A:$N,13,FALSE),0)&gt;=5,IFERROR(VLOOKUP(AK349,Equip!$A:$N,13,FALSE),0)&lt;=9),INT(VLOOKUP(AK349,Equip!$A:$N,6,FALSE)*SQRT(AO349)),0)</f>
        <v>0</v>
      </c>
      <c r="AU349">
        <f>IF(AND(IFERROR(VLOOKUP(AL349,Equip!$A:$N,13,FALSE),0)&gt;=5,IFERROR(VLOOKUP(AL349,Equip!$A:$N,13,FALSE),0)&lt;=9),INT(VLOOKUP(AL349,Equip!$A:$N,6,FALSE)*SQRT(AP349)),0)</f>
        <v>0</v>
      </c>
      <c r="AV349">
        <f>IF(AND(IFERROR(VLOOKUP(AM349,Equip!$A:$N,13,FALSE),0)&gt;=5,IFERROR(VLOOKUP(AM349,Equip!$A:$N,13,FALSE),0)&lt;=9),INT(VLOOKUP(AM349,Equip!$A:$N,6,FALSE)*SQRT(AQ349)),0)</f>
        <v>0</v>
      </c>
      <c r="AW349">
        <f t="shared" si="1009"/>
        <v>0</v>
      </c>
      <c r="AX349">
        <f t="shared" si="1010"/>
        <v>130</v>
      </c>
    </row>
    <row r="350" spans="1:50">
      <c r="A350">
        <v>182</v>
      </c>
      <c r="B350" t="s">
        <v>875</v>
      </c>
      <c r="C350" t="s">
        <v>875</v>
      </c>
      <c r="D350">
        <v>1</v>
      </c>
      <c r="E350">
        <f>E349</f>
        <v>1948</v>
      </c>
      <c r="F350">
        <f t="shared" ref="F350" si="1094">F349</f>
        <v>1074</v>
      </c>
      <c r="G350">
        <f t="shared" ref="G350" si="1095">G349</f>
        <v>182</v>
      </c>
      <c r="H350">
        <f t="shared" ref="H350" si="1096">H349</f>
        <v>2</v>
      </c>
      <c r="I350">
        <f t="shared" ref="I350" si="1097">I349</f>
        <v>1</v>
      </c>
      <c r="J350">
        <f t="shared" ref="J350" si="1098">J349</f>
        <v>0</v>
      </c>
      <c r="K350">
        <v>16</v>
      </c>
      <c r="L350">
        <v>4</v>
      </c>
      <c r="M350">
        <v>45</v>
      </c>
      <c r="N350">
        <v>45</v>
      </c>
      <c r="O350">
        <v>9</v>
      </c>
      <c r="P350">
        <v>12</v>
      </c>
      <c r="Q350">
        <v>0</v>
      </c>
      <c r="R350">
        <v>20</v>
      </c>
      <c r="S350">
        <v>19</v>
      </c>
      <c r="T350">
        <v>0</v>
      </c>
      <c r="U350">
        <f t="shared" ref="U350" si="1099">U349</f>
        <v>5</v>
      </c>
      <c r="V350">
        <v>3</v>
      </c>
      <c r="W350">
        <f t="shared" ref="W350" si="1100">W349</f>
        <v>1</v>
      </c>
      <c r="X350">
        <v>12</v>
      </c>
      <c r="Y350">
        <f t="shared" ref="Y350" si="1101">Y349</f>
        <v>0</v>
      </c>
      <c r="Z350">
        <v>55</v>
      </c>
      <c r="AA350">
        <v>15</v>
      </c>
      <c r="AB350">
        <v>24</v>
      </c>
      <c r="AC350">
        <v>0</v>
      </c>
      <c r="AD350">
        <v>36</v>
      </c>
      <c r="AE350">
        <v>27</v>
      </c>
      <c r="AF350">
        <v>49</v>
      </c>
      <c r="AG350">
        <v>39</v>
      </c>
      <c r="AH350">
        <v>0</v>
      </c>
      <c r="AI350">
        <v>6</v>
      </c>
      <c r="AJ350">
        <v>86</v>
      </c>
      <c r="AK350">
        <v>10</v>
      </c>
      <c r="AL350">
        <v>39</v>
      </c>
      <c r="AM350">
        <v>0</v>
      </c>
      <c r="AN350">
        <v>0</v>
      </c>
      <c r="AO350">
        <v>0</v>
      </c>
      <c r="AP350">
        <v>0</v>
      </c>
      <c r="AQ350">
        <v>0</v>
      </c>
      <c r="AR350">
        <f t="shared" si="1008"/>
        <v>0</v>
      </c>
      <c r="AS350">
        <f>IF(AND(IFERROR(VLOOKUP(AJ350,Equip!$A:$N,13,FALSE),0)&gt;=5,IFERROR(VLOOKUP(AJ350,Equip!$A:$N,13,FALSE),0)&lt;=9),INT(VLOOKUP(AJ350,Equip!$A:$N,6,FALSE)*SQRT(AN350)),0)</f>
        <v>0</v>
      </c>
      <c r="AT350">
        <f>IF(AND(IFERROR(VLOOKUP(AK350,Equip!$A:$N,13,FALSE),0)&gt;=5,IFERROR(VLOOKUP(AK350,Equip!$A:$N,13,FALSE),0)&lt;=9),INT(VLOOKUP(AK350,Equip!$A:$N,6,FALSE)*SQRT(AO350)),0)</f>
        <v>0</v>
      </c>
      <c r="AU350">
        <f>IF(AND(IFERROR(VLOOKUP(AL350,Equip!$A:$N,13,FALSE),0)&gt;=5,IFERROR(VLOOKUP(AL350,Equip!$A:$N,13,FALSE),0)&lt;=9),INT(VLOOKUP(AL350,Equip!$A:$N,6,FALSE)*SQRT(AP350)),0)</f>
        <v>0</v>
      </c>
      <c r="AV350">
        <f>IF(AND(IFERROR(VLOOKUP(AM350,Equip!$A:$N,13,FALSE),0)&gt;=5,IFERROR(VLOOKUP(AM350,Equip!$A:$N,13,FALSE),0)&lt;=9),INT(VLOOKUP(AM350,Equip!$A:$N,6,FALSE)*SQRT(AQ350)),0)</f>
        <v>0</v>
      </c>
      <c r="AW350">
        <f t="shared" si="1009"/>
        <v>0</v>
      </c>
      <c r="AX350">
        <f t="shared" si="1010"/>
        <v>177</v>
      </c>
    </row>
    <row r="351" spans="1:50">
      <c r="A351">
        <v>183</v>
      </c>
      <c r="B351" t="s">
        <v>876</v>
      </c>
      <c r="C351" t="s">
        <v>876</v>
      </c>
      <c r="D351">
        <v>0</v>
      </c>
      <c r="E351">
        <v>1832</v>
      </c>
      <c r="F351">
        <v>1016</v>
      </c>
      <c r="G351">
        <v>183</v>
      </c>
      <c r="H351">
        <v>2</v>
      </c>
      <c r="I351">
        <v>1</v>
      </c>
      <c r="J351">
        <v>7</v>
      </c>
      <c r="K351">
        <v>2</v>
      </c>
      <c r="L351">
        <v>3</v>
      </c>
      <c r="M351">
        <v>34</v>
      </c>
      <c r="N351">
        <v>34</v>
      </c>
      <c r="O351">
        <v>24</v>
      </c>
      <c r="P351">
        <v>19</v>
      </c>
      <c r="Q351">
        <v>0</v>
      </c>
      <c r="R351">
        <v>35</v>
      </c>
      <c r="S351">
        <v>18</v>
      </c>
      <c r="T351">
        <v>0</v>
      </c>
      <c r="U351">
        <v>10</v>
      </c>
      <c r="V351">
        <v>24</v>
      </c>
      <c r="W351">
        <v>2</v>
      </c>
      <c r="X351">
        <v>24</v>
      </c>
      <c r="Y351">
        <v>0</v>
      </c>
      <c r="Z351">
        <v>35</v>
      </c>
      <c r="AA351">
        <v>30</v>
      </c>
      <c r="AB351">
        <v>48</v>
      </c>
      <c r="AC351">
        <v>39</v>
      </c>
      <c r="AD351">
        <v>62</v>
      </c>
      <c r="AE351">
        <v>34</v>
      </c>
      <c r="AF351">
        <v>69</v>
      </c>
      <c r="AG351">
        <v>70</v>
      </c>
      <c r="AH351">
        <v>39</v>
      </c>
      <c r="AI351">
        <v>80</v>
      </c>
      <c r="AJ351">
        <v>5</v>
      </c>
      <c r="AK351">
        <v>71</v>
      </c>
      <c r="AL351">
        <v>25</v>
      </c>
      <c r="AM351">
        <v>-1</v>
      </c>
      <c r="AN351">
        <v>0</v>
      </c>
      <c r="AO351">
        <v>6</v>
      </c>
      <c r="AP351">
        <v>6</v>
      </c>
      <c r="AQ351">
        <v>0</v>
      </c>
      <c r="AR351">
        <f t="shared" si="1008"/>
        <v>12</v>
      </c>
      <c r="AS351">
        <f>IF(AND(IFERROR(VLOOKUP(AJ351,Equip!$A:$N,13,FALSE),0)&gt;=5,IFERROR(VLOOKUP(AJ351,Equip!$A:$N,13,FALSE),0)&lt;=9),INT(VLOOKUP(AJ351,Equip!$A:$N,6,FALSE)*SQRT(AN351)),0)</f>
        <v>0</v>
      </c>
      <c r="AT351">
        <f>IF(AND(IFERROR(VLOOKUP(AK351,Equip!$A:$N,13,FALSE),0)&gt;=5,IFERROR(VLOOKUP(AK351,Equip!$A:$N,13,FALSE),0)&lt;=9),INT(VLOOKUP(AK351,Equip!$A:$N,6,FALSE)*SQRT(AO351)),0)</f>
        <v>0</v>
      </c>
      <c r="AU351">
        <f>IF(AND(IFERROR(VLOOKUP(AL351,Equip!$A:$N,13,FALSE),0)&gt;=5,IFERROR(VLOOKUP(AL351,Equip!$A:$N,13,FALSE),0)&lt;=9),INT(VLOOKUP(AL351,Equip!$A:$N,6,FALSE)*SQRT(AP351)),0)</f>
        <v>0</v>
      </c>
      <c r="AV351">
        <f>IF(AND(IFERROR(VLOOKUP(AM351,Equip!$A:$N,13,FALSE),0)&gt;=5,IFERROR(VLOOKUP(AM351,Equip!$A:$N,13,FALSE),0)&lt;=9),INT(VLOOKUP(AM351,Equip!$A:$N,6,FALSE)*SQRT(AQ351)),0)</f>
        <v>0</v>
      </c>
      <c r="AW351">
        <f t="shared" si="1009"/>
        <v>0</v>
      </c>
      <c r="AX351">
        <f t="shared" si="1010"/>
        <v>406</v>
      </c>
    </row>
    <row r="352" spans="1:50">
      <c r="A352">
        <v>183</v>
      </c>
      <c r="B352" t="s">
        <v>876</v>
      </c>
      <c r="C352" t="s">
        <v>876</v>
      </c>
      <c r="D352">
        <v>1</v>
      </c>
      <c r="E352">
        <f>E351</f>
        <v>1832</v>
      </c>
      <c r="F352">
        <f t="shared" ref="F352" si="1102">F351</f>
        <v>1016</v>
      </c>
      <c r="G352">
        <f t="shared" ref="G352" si="1103">G351</f>
        <v>183</v>
      </c>
      <c r="H352">
        <f t="shared" ref="H352" si="1104">H351</f>
        <v>2</v>
      </c>
      <c r="I352">
        <f t="shared" ref="I352" si="1105">I351</f>
        <v>1</v>
      </c>
      <c r="J352">
        <f t="shared" ref="J352" si="1106">J351</f>
        <v>7</v>
      </c>
      <c r="K352">
        <v>2</v>
      </c>
      <c r="L352">
        <v>3</v>
      </c>
      <c r="M352">
        <v>47</v>
      </c>
      <c r="N352">
        <v>47</v>
      </c>
      <c r="O352">
        <v>32</v>
      </c>
      <c r="P352">
        <v>32</v>
      </c>
      <c r="Q352">
        <v>14</v>
      </c>
      <c r="R352">
        <v>40</v>
      </c>
      <c r="S352">
        <v>22</v>
      </c>
      <c r="T352">
        <v>13</v>
      </c>
      <c r="U352">
        <f t="shared" ref="U352" si="1107">U351</f>
        <v>10</v>
      </c>
      <c r="V352">
        <v>28</v>
      </c>
      <c r="W352">
        <f t="shared" ref="W352" si="1108">W351</f>
        <v>2</v>
      </c>
      <c r="X352">
        <v>30</v>
      </c>
      <c r="Y352">
        <f t="shared" ref="Y352" si="1109">Y351</f>
        <v>0</v>
      </c>
      <c r="Z352">
        <v>35</v>
      </c>
      <c r="AA352">
        <v>35</v>
      </c>
      <c r="AB352">
        <v>70</v>
      </c>
      <c r="AC352">
        <v>49</v>
      </c>
      <c r="AD352">
        <v>74</v>
      </c>
      <c r="AE352">
        <v>68</v>
      </c>
      <c r="AF352">
        <v>79</v>
      </c>
      <c r="AG352">
        <v>78</v>
      </c>
      <c r="AH352">
        <v>39</v>
      </c>
      <c r="AI352">
        <v>84</v>
      </c>
      <c r="AJ352">
        <v>65</v>
      </c>
      <c r="AK352">
        <v>107</v>
      </c>
      <c r="AL352">
        <v>106</v>
      </c>
      <c r="AM352">
        <v>0</v>
      </c>
      <c r="AN352">
        <v>0</v>
      </c>
      <c r="AO352">
        <v>6</v>
      </c>
      <c r="AP352">
        <v>6</v>
      </c>
      <c r="AQ352">
        <v>0</v>
      </c>
      <c r="AR352">
        <f t="shared" si="1008"/>
        <v>12</v>
      </c>
      <c r="AS352">
        <f>IF(AND(IFERROR(VLOOKUP(AJ352,Equip!$A:$N,13,FALSE),0)&gt;=5,IFERROR(VLOOKUP(AJ352,Equip!$A:$N,13,FALSE),0)&lt;=9),INT(VLOOKUP(AJ352,Equip!$A:$N,6,FALSE)*SQRT(AN352)),0)</f>
        <v>0</v>
      </c>
      <c r="AT352">
        <f>IF(AND(IFERROR(VLOOKUP(AK352,Equip!$A:$N,13,FALSE),0)&gt;=5,IFERROR(VLOOKUP(AK352,Equip!$A:$N,13,FALSE),0)&lt;=9),INT(VLOOKUP(AK352,Equip!$A:$N,6,FALSE)*SQRT(AO352)),0)</f>
        <v>0</v>
      </c>
      <c r="AU352">
        <f>IF(AND(IFERROR(VLOOKUP(AL352,Equip!$A:$N,13,FALSE),0)&gt;=5,IFERROR(VLOOKUP(AL352,Equip!$A:$N,13,FALSE),0)&lt;=9),INT(VLOOKUP(AL352,Equip!$A:$N,6,FALSE)*SQRT(AP352)),0)</f>
        <v>0</v>
      </c>
      <c r="AV352">
        <f>IF(AND(IFERROR(VLOOKUP(AM352,Equip!$A:$N,13,FALSE),0)&gt;=5,IFERROR(VLOOKUP(AM352,Equip!$A:$N,13,FALSE),0)&lt;=9),INT(VLOOKUP(AM352,Equip!$A:$N,6,FALSE)*SQRT(AQ352)),0)</f>
        <v>0</v>
      </c>
      <c r="AW352">
        <f t="shared" si="1009"/>
        <v>0</v>
      </c>
      <c r="AX352">
        <f t="shared" si="1010"/>
        <v>509</v>
      </c>
    </row>
    <row r="353" spans="1:50">
      <c r="A353">
        <v>184</v>
      </c>
      <c r="B353" t="s">
        <v>877</v>
      </c>
      <c r="C353" t="s">
        <v>877</v>
      </c>
      <c r="D353">
        <v>0</v>
      </c>
      <c r="E353">
        <v>1948</v>
      </c>
      <c r="F353">
        <v>1074</v>
      </c>
      <c r="G353">
        <v>184</v>
      </c>
      <c r="H353">
        <v>2</v>
      </c>
      <c r="I353">
        <v>1</v>
      </c>
      <c r="J353">
        <v>6</v>
      </c>
      <c r="K353">
        <v>17</v>
      </c>
      <c r="L353">
        <v>4</v>
      </c>
      <c r="M353">
        <v>39</v>
      </c>
      <c r="N353">
        <v>39</v>
      </c>
      <c r="O353">
        <v>5</v>
      </c>
      <c r="P353">
        <v>15</v>
      </c>
      <c r="Q353">
        <v>0</v>
      </c>
      <c r="R353">
        <v>24</v>
      </c>
      <c r="S353">
        <v>16</v>
      </c>
      <c r="T353">
        <v>0</v>
      </c>
      <c r="U353">
        <v>5</v>
      </c>
      <c r="V353">
        <v>24</v>
      </c>
      <c r="W353">
        <v>1</v>
      </c>
      <c r="X353">
        <v>20</v>
      </c>
      <c r="Y353">
        <v>0</v>
      </c>
      <c r="Z353">
        <v>35</v>
      </c>
      <c r="AA353">
        <v>10</v>
      </c>
      <c r="AB353">
        <v>15</v>
      </c>
      <c r="AC353">
        <v>0</v>
      </c>
      <c r="AD353">
        <v>36</v>
      </c>
      <c r="AE353">
        <v>37</v>
      </c>
      <c r="AF353">
        <v>59</v>
      </c>
      <c r="AG353">
        <v>39</v>
      </c>
      <c r="AH353">
        <v>0</v>
      </c>
      <c r="AI353">
        <v>48</v>
      </c>
      <c r="AJ353">
        <v>10</v>
      </c>
      <c r="AK353">
        <v>92</v>
      </c>
      <c r="AL353">
        <v>0</v>
      </c>
      <c r="AM353">
        <v>-1</v>
      </c>
      <c r="AN353">
        <v>2</v>
      </c>
      <c r="AO353">
        <v>3</v>
      </c>
      <c r="AP353">
        <v>3</v>
      </c>
      <c r="AQ353">
        <v>0</v>
      </c>
      <c r="AR353">
        <f t="shared" si="1008"/>
        <v>8</v>
      </c>
      <c r="AS353">
        <f>IF(AND(IFERROR(VLOOKUP(AJ353,Equip!$A:$N,13,FALSE),0)&gt;=5,IFERROR(VLOOKUP(AJ353,Equip!$A:$N,13,FALSE),0)&lt;=9),INT(VLOOKUP(AJ353,Equip!$A:$N,6,FALSE)*SQRT(AN353)),0)</f>
        <v>0</v>
      </c>
      <c r="AT353">
        <f>IF(AND(IFERROR(VLOOKUP(AK353,Equip!$A:$N,13,FALSE),0)&gt;=5,IFERROR(VLOOKUP(AK353,Equip!$A:$N,13,FALSE),0)&lt;=9),INT(VLOOKUP(AK353,Equip!$A:$N,6,FALSE)*SQRT(AO353)),0)</f>
        <v>0</v>
      </c>
      <c r="AU353">
        <f>IF(AND(IFERROR(VLOOKUP(AL353,Equip!$A:$N,13,FALSE),0)&gt;=5,IFERROR(VLOOKUP(AL353,Equip!$A:$N,13,FALSE),0)&lt;=9),INT(VLOOKUP(AL353,Equip!$A:$N,6,FALSE)*SQRT(AP353)),0)</f>
        <v>0</v>
      </c>
      <c r="AV353">
        <f>IF(AND(IFERROR(VLOOKUP(AM353,Equip!$A:$N,13,FALSE),0)&gt;=5,IFERROR(VLOOKUP(AM353,Equip!$A:$N,13,FALSE),0)&lt;=9),INT(VLOOKUP(AM353,Equip!$A:$N,6,FALSE)*SQRT(AQ353)),0)</f>
        <v>0</v>
      </c>
      <c r="AW353">
        <f t="shared" si="1009"/>
        <v>0</v>
      </c>
      <c r="AX353">
        <f t="shared" si="1010"/>
        <v>214</v>
      </c>
    </row>
    <row r="354" spans="1:50" ht="14.25">
      <c r="A354">
        <v>184</v>
      </c>
      <c r="B354" s="4" t="s">
        <v>1384</v>
      </c>
      <c r="C354" s="4" t="s">
        <v>1384</v>
      </c>
      <c r="D354">
        <v>1</v>
      </c>
      <c r="E354">
        <f t="shared" ref="E354:E355" si="1110">E353</f>
        <v>1948</v>
      </c>
      <c r="F354">
        <f t="shared" ref="F354:F355" si="1111">F353</f>
        <v>1074</v>
      </c>
      <c r="G354">
        <f t="shared" ref="G354:G355" si="1112">G353</f>
        <v>184</v>
      </c>
      <c r="H354">
        <f t="shared" ref="H354:H355" si="1113">H353</f>
        <v>2</v>
      </c>
      <c r="I354">
        <f t="shared" ref="I354:I355" si="1114">I353</f>
        <v>1</v>
      </c>
      <c r="J354">
        <f t="shared" ref="J354:J355" si="1115">J353</f>
        <v>6</v>
      </c>
      <c r="K354">
        <v>9</v>
      </c>
      <c r="L354">
        <v>4</v>
      </c>
      <c r="M354">
        <v>39</v>
      </c>
      <c r="N354">
        <v>39</v>
      </c>
      <c r="O354">
        <v>0</v>
      </c>
      <c r="P354">
        <v>18</v>
      </c>
      <c r="Q354">
        <v>0</v>
      </c>
      <c r="R354">
        <v>27</v>
      </c>
      <c r="S354">
        <v>24</v>
      </c>
      <c r="T354">
        <v>0</v>
      </c>
      <c r="U354">
        <f t="shared" ref="U354:U355" si="1116">U353</f>
        <v>5</v>
      </c>
      <c r="V354">
        <v>28</v>
      </c>
      <c r="W354">
        <f t="shared" ref="W354:W355" si="1117">W353</f>
        <v>1</v>
      </c>
      <c r="X354">
        <v>20</v>
      </c>
      <c r="Y354">
        <f t="shared" ref="Y354:Y355" si="1118">Y353</f>
        <v>0</v>
      </c>
      <c r="Z354">
        <v>35</v>
      </c>
      <c r="AA354">
        <v>35</v>
      </c>
      <c r="AB354">
        <v>20</v>
      </c>
      <c r="AC354">
        <v>0</v>
      </c>
      <c r="AD354">
        <v>48</v>
      </c>
      <c r="AE354">
        <v>38</v>
      </c>
      <c r="AF354">
        <v>69</v>
      </c>
      <c r="AG354">
        <v>49</v>
      </c>
      <c r="AH354">
        <v>0</v>
      </c>
      <c r="AI354">
        <v>64</v>
      </c>
      <c r="AJ354">
        <v>20</v>
      </c>
      <c r="AK354">
        <v>16</v>
      </c>
      <c r="AL354">
        <v>0</v>
      </c>
      <c r="AM354">
        <v>-1</v>
      </c>
      <c r="AN354">
        <v>18</v>
      </c>
      <c r="AO354">
        <v>7</v>
      </c>
      <c r="AP354">
        <v>6</v>
      </c>
      <c r="AQ354">
        <v>0</v>
      </c>
      <c r="AR354">
        <f t="shared" si="1008"/>
        <v>31</v>
      </c>
      <c r="AS354">
        <f>IF(AND(IFERROR(VLOOKUP(AJ354,Equip!$A:$N,13,FALSE),0)&gt;=5,IFERROR(VLOOKUP(AJ354,Equip!$A:$N,13,FALSE),0)&lt;=9),INT(VLOOKUP(AJ354,Equip!$A:$N,6,FALSE)*SQRT(AN354)),0)</f>
        <v>0</v>
      </c>
      <c r="AT354">
        <f>IF(AND(IFERROR(VLOOKUP(AK354,Equip!$A:$N,13,FALSE),0)&gt;=5,IFERROR(VLOOKUP(AK354,Equip!$A:$N,13,FALSE),0)&lt;=9),INT(VLOOKUP(AK354,Equip!$A:$N,6,FALSE)*SQRT(AO354)),0)</f>
        <v>0</v>
      </c>
      <c r="AU354">
        <f>IF(AND(IFERROR(VLOOKUP(AL354,Equip!$A:$N,13,FALSE),0)&gt;=5,IFERROR(VLOOKUP(AL354,Equip!$A:$N,13,FALSE),0)&lt;=9),INT(VLOOKUP(AL354,Equip!$A:$N,6,FALSE)*SQRT(AP354)),0)</f>
        <v>0</v>
      </c>
      <c r="AV354">
        <f>IF(AND(IFERROR(VLOOKUP(AM354,Equip!$A:$N,13,FALSE),0)&gt;=5,IFERROR(VLOOKUP(AM354,Equip!$A:$N,13,FALSE),0)&lt;=9),INT(VLOOKUP(AM354,Equip!$A:$N,6,FALSE)*SQRT(AQ354)),0)</f>
        <v>0</v>
      </c>
      <c r="AW354">
        <f t="shared" si="1009"/>
        <v>0</v>
      </c>
      <c r="AX354">
        <f t="shared" si="1010"/>
        <v>258</v>
      </c>
    </row>
    <row r="355" spans="1:50" ht="14.25">
      <c r="A355">
        <v>184</v>
      </c>
      <c r="B355" s="4" t="s">
        <v>1384</v>
      </c>
      <c r="C355" s="4" t="s">
        <v>1384</v>
      </c>
      <c r="D355">
        <v>2</v>
      </c>
      <c r="E355">
        <f t="shared" si="1110"/>
        <v>1948</v>
      </c>
      <c r="F355">
        <f t="shared" si="1111"/>
        <v>1074</v>
      </c>
      <c r="G355">
        <f t="shared" si="1112"/>
        <v>184</v>
      </c>
      <c r="H355">
        <f t="shared" si="1113"/>
        <v>2</v>
      </c>
      <c r="I355">
        <f t="shared" si="1114"/>
        <v>1</v>
      </c>
      <c r="J355">
        <f t="shared" si="1115"/>
        <v>6</v>
      </c>
      <c r="K355">
        <v>9</v>
      </c>
      <c r="L355">
        <v>4</v>
      </c>
      <c r="M355">
        <v>48</v>
      </c>
      <c r="N355">
        <v>48</v>
      </c>
      <c r="O355">
        <v>0</v>
      </c>
      <c r="P355">
        <v>24</v>
      </c>
      <c r="Q355">
        <v>0</v>
      </c>
      <c r="R355">
        <v>30</v>
      </c>
      <c r="S355">
        <v>28</v>
      </c>
      <c r="T355">
        <v>0</v>
      </c>
      <c r="U355">
        <f t="shared" si="1116"/>
        <v>5</v>
      </c>
      <c r="V355">
        <v>30</v>
      </c>
      <c r="W355">
        <f t="shared" si="1117"/>
        <v>1</v>
      </c>
      <c r="X355">
        <v>24</v>
      </c>
      <c r="Y355">
        <f t="shared" si="1118"/>
        <v>0</v>
      </c>
      <c r="Z355">
        <v>35</v>
      </c>
      <c r="AA355">
        <v>40</v>
      </c>
      <c r="AB355">
        <v>32</v>
      </c>
      <c r="AC355">
        <v>0</v>
      </c>
      <c r="AD355">
        <v>62</v>
      </c>
      <c r="AE355">
        <v>57</v>
      </c>
      <c r="AF355">
        <v>79</v>
      </c>
      <c r="AG355">
        <v>62</v>
      </c>
      <c r="AH355">
        <v>0</v>
      </c>
      <c r="AI355">
        <v>74</v>
      </c>
      <c r="AJ355">
        <v>21</v>
      </c>
      <c r="AK355">
        <v>82</v>
      </c>
      <c r="AL355">
        <v>51</v>
      </c>
      <c r="AM355">
        <v>0</v>
      </c>
      <c r="AN355">
        <v>21</v>
      </c>
      <c r="AO355">
        <v>9</v>
      </c>
      <c r="AP355">
        <v>9</v>
      </c>
      <c r="AQ355">
        <v>6</v>
      </c>
      <c r="AR355">
        <f t="shared" si="1008"/>
        <v>45</v>
      </c>
      <c r="AS355">
        <f>IF(AND(IFERROR(VLOOKUP(AJ355,Equip!$A:$N,13,FALSE),0)&gt;=5,IFERROR(VLOOKUP(AJ355,Equip!$A:$N,13,FALSE),0)&lt;=9),INT(VLOOKUP(AJ355,Equip!$A:$N,6,FALSE)*SQRT(AN355)),0)</f>
        <v>0</v>
      </c>
      <c r="AT355">
        <f>IF(AND(IFERROR(VLOOKUP(AK355,Equip!$A:$N,13,FALSE),0)&gt;=5,IFERROR(VLOOKUP(AK355,Equip!$A:$N,13,FALSE),0)&lt;=9),INT(VLOOKUP(AK355,Equip!$A:$N,6,FALSE)*SQRT(AO355)),0)</f>
        <v>0</v>
      </c>
      <c r="AU355">
        <f>IF(AND(IFERROR(VLOOKUP(AL355,Equip!$A:$N,13,FALSE),0)&gt;=5,IFERROR(VLOOKUP(AL355,Equip!$A:$N,13,FALSE),0)&lt;=9),INT(VLOOKUP(AL355,Equip!$A:$N,6,FALSE)*SQRT(AP355)),0)</f>
        <v>0</v>
      </c>
      <c r="AV355">
        <f>IF(AND(IFERROR(VLOOKUP(AM355,Equip!$A:$N,13,FALSE),0)&gt;=5,IFERROR(VLOOKUP(AM355,Equip!$A:$N,13,FALSE),0)&lt;=9),INT(VLOOKUP(AM355,Equip!$A:$N,6,FALSE)*SQRT(AQ355)),0)</f>
        <v>0</v>
      </c>
      <c r="AW355">
        <f t="shared" si="1009"/>
        <v>0</v>
      </c>
      <c r="AX355">
        <f t="shared" si="1010"/>
        <v>335</v>
      </c>
    </row>
    <row r="356" spans="1:50">
      <c r="A356">
        <v>186</v>
      </c>
      <c r="B356" t="s">
        <v>878</v>
      </c>
      <c r="C356" t="s">
        <v>878</v>
      </c>
      <c r="D356">
        <v>0</v>
      </c>
      <c r="E356">
        <v>1320</v>
      </c>
      <c r="F356">
        <v>760</v>
      </c>
      <c r="G356">
        <v>186</v>
      </c>
      <c r="H356">
        <v>0</v>
      </c>
      <c r="I356">
        <v>1</v>
      </c>
      <c r="J356">
        <v>3</v>
      </c>
      <c r="K356">
        <v>1</v>
      </c>
      <c r="L356">
        <v>1</v>
      </c>
      <c r="M356">
        <v>16</v>
      </c>
      <c r="N356">
        <v>16</v>
      </c>
      <c r="O356">
        <v>10</v>
      </c>
      <c r="P356">
        <v>6</v>
      </c>
      <c r="Q356">
        <v>24</v>
      </c>
      <c r="R356">
        <v>44</v>
      </c>
      <c r="S356">
        <v>10</v>
      </c>
      <c r="T356">
        <v>24</v>
      </c>
      <c r="U356">
        <v>10</v>
      </c>
      <c r="V356">
        <v>7</v>
      </c>
      <c r="W356">
        <v>1</v>
      </c>
      <c r="X356">
        <v>13</v>
      </c>
      <c r="Y356">
        <v>0</v>
      </c>
      <c r="Z356">
        <v>15</v>
      </c>
      <c r="AA356">
        <v>20</v>
      </c>
      <c r="AB356">
        <v>29</v>
      </c>
      <c r="AC356">
        <v>69</v>
      </c>
      <c r="AD356">
        <v>40</v>
      </c>
      <c r="AE356">
        <v>19</v>
      </c>
      <c r="AF356">
        <v>49</v>
      </c>
      <c r="AG356">
        <v>79</v>
      </c>
      <c r="AH356">
        <v>49</v>
      </c>
      <c r="AI356">
        <v>19</v>
      </c>
      <c r="AJ356">
        <v>2</v>
      </c>
      <c r="AK356">
        <v>14</v>
      </c>
      <c r="AL356">
        <v>-1</v>
      </c>
      <c r="AM356">
        <v>-1</v>
      </c>
      <c r="AN356">
        <v>0</v>
      </c>
      <c r="AO356">
        <v>0</v>
      </c>
      <c r="AP356">
        <v>0</v>
      </c>
      <c r="AQ356">
        <v>0</v>
      </c>
      <c r="AR356">
        <f t="shared" si="1008"/>
        <v>0</v>
      </c>
      <c r="AS356">
        <f>IF(AND(IFERROR(VLOOKUP(AJ356,Equip!$A:$N,13,FALSE),0)&gt;=5,IFERROR(VLOOKUP(AJ356,Equip!$A:$N,13,FALSE),0)&lt;=9),INT(VLOOKUP(AJ356,Equip!$A:$N,6,FALSE)*SQRT(AN356)),0)</f>
        <v>0</v>
      </c>
      <c r="AT356">
        <f>IF(AND(IFERROR(VLOOKUP(AK356,Equip!$A:$N,13,FALSE),0)&gt;=5,IFERROR(VLOOKUP(AK356,Equip!$A:$N,13,FALSE),0)&lt;=9),INT(VLOOKUP(AK356,Equip!$A:$N,6,FALSE)*SQRT(AO356)),0)</f>
        <v>0</v>
      </c>
      <c r="AU356">
        <f>IF(AND(IFERROR(VLOOKUP(AL356,Equip!$A:$N,13,FALSE),0)&gt;=5,IFERROR(VLOOKUP(AL356,Equip!$A:$N,13,FALSE),0)&lt;=9),INT(VLOOKUP(AL356,Equip!$A:$N,6,FALSE)*SQRT(AP356)),0)</f>
        <v>0</v>
      </c>
      <c r="AV356">
        <f>IF(AND(IFERROR(VLOOKUP(AM356,Equip!$A:$N,13,FALSE),0)&gt;=5,IFERROR(VLOOKUP(AM356,Equip!$A:$N,13,FALSE),0)&lt;=9),INT(VLOOKUP(AM356,Equip!$A:$N,6,FALSE)*SQRT(AQ356)),0)</f>
        <v>0</v>
      </c>
      <c r="AW356">
        <f t="shared" si="1009"/>
        <v>0</v>
      </c>
      <c r="AX356">
        <f t="shared" si="1010"/>
        <v>320</v>
      </c>
    </row>
    <row r="357" spans="1:50">
      <c r="A357">
        <v>186</v>
      </c>
      <c r="B357" t="s">
        <v>878</v>
      </c>
      <c r="C357" t="s">
        <v>878</v>
      </c>
      <c r="D357">
        <v>1</v>
      </c>
      <c r="E357">
        <f>E356</f>
        <v>1320</v>
      </c>
      <c r="F357">
        <f t="shared" ref="F357" si="1119">F356</f>
        <v>760</v>
      </c>
      <c r="G357">
        <f t="shared" ref="G357" si="1120">G356</f>
        <v>186</v>
      </c>
      <c r="H357">
        <f t="shared" ref="H357" si="1121">H356</f>
        <v>0</v>
      </c>
      <c r="I357">
        <f t="shared" ref="I357" si="1122">I356</f>
        <v>1</v>
      </c>
      <c r="J357">
        <f t="shared" ref="J357" si="1123">J356</f>
        <v>3</v>
      </c>
      <c r="K357">
        <v>1</v>
      </c>
      <c r="L357">
        <v>1</v>
      </c>
      <c r="M357">
        <v>32</v>
      </c>
      <c r="N357">
        <v>32</v>
      </c>
      <c r="O357">
        <v>12</v>
      </c>
      <c r="P357">
        <v>14</v>
      </c>
      <c r="Q357">
        <v>28</v>
      </c>
      <c r="R357">
        <v>46</v>
      </c>
      <c r="S357">
        <v>16</v>
      </c>
      <c r="T357">
        <v>26</v>
      </c>
      <c r="U357">
        <f t="shared" ref="U357" si="1124">U356</f>
        <v>10</v>
      </c>
      <c r="V357">
        <v>8</v>
      </c>
      <c r="W357">
        <f t="shared" ref="W357" si="1125">W356</f>
        <v>1</v>
      </c>
      <c r="X357">
        <v>12</v>
      </c>
      <c r="Y357">
        <f t="shared" ref="Y357" si="1126">Y356</f>
        <v>0</v>
      </c>
      <c r="Z357">
        <v>15</v>
      </c>
      <c r="AA357">
        <v>20</v>
      </c>
      <c r="AB357">
        <v>48</v>
      </c>
      <c r="AC357">
        <v>79</v>
      </c>
      <c r="AD357">
        <v>49</v>
      </c>
      <c r="AE357">
        <v>49</v>
      </c>
      <c r="AF357">
        <v>59</v>
      </c>
      <c r="AG357">
        <v>88</v>
      </c>
      <c r="AH357">
        <v>64</v>
      </c>
      <c r="AI357">
        <v>39</v>
      </c>
      <c r="AJ357">
        <v>15</v>
      </c>
      <c r="AK357">
        <v>91</v>
      </c>
      <c r="AL357">
        <v>0</v>
      </c>
      <c r="AM357">
        <v>-1</v>
      </c>
      <c r="AN357">
        <v>0</v>
      </c>
      <c r="AO357">
        <v>0</v>
      </c>
      <c r="AP357">
        <v>0</v>
      </c>
      <c r="AQ357">
        <v>0</v>
      </c>
      <c r="AR357">
        <f t="shared" si="1008"/>
        <v>0</v>
      </c>
      <c r="AS357">
        <f>IF(AND(IFERROR(VLOOKUP(AJ357,Equip!$A:$N,13,FALSE),0)&gt;=5,IFERROR(VLOOKUP(AJ357,Equip!$A:$N,13,FALSE),0)&lt;=9),INT(VLOOKUP(AJ357,Equip!$A:$N,6,FALSE)*SQRT(AN357)),0)</f>
        <v>0</v>
      </c>
      <c r="AT357">
        <f>IF(AND(IFERROR(VLOOKUP(AK357,Equip!$A:$N,13,FALSE),0)&gt;=5,IFERROR(VLOOKUP(AK357,Equip!$A:$N,13,FALSE),0)&lt;=9),INT(VLOOKUP(AK357,Equip!$A:$N,6,FALSE)*SQRT(AO357)),0)</f>
        <v>0</v>
      </c>
      <c r="AU357">
        <f>IF(AND(IFERROR(VLOOKUP(AL357,Equip!$A:$N,13,FALSE),0)&gt;=5,IFERROR(VLOOKUP(AL357,Equip!$A:$N,13,FALSE),0)&lt;=9),INT(VLOOKUP(AL357,Equip!$A:$N,6,FALSE)*SQRT(AP357)),0)</f>
        <v>0</v>
      </c>
      <c r="AV357">
        <f>IF(AND(IFERROR(VLOOKUP(AM357,Equip!$A:$N,13,FALSE),0)&gt;=5,IFERROR(VLOOKUP(AM357,Equip!$A:$N,13,FALSE),0)&lt;=9),INT(VLOOKUP(AM357,Equip!$A:$N,6,FALSE)*SQRT(AQ357)),0)</f>
        <v>0</v>
      </c>
      <c r="AW357">
        <f t="shared" si="1009"/>
        <v>0</v>
      </c>
      <c r="AX357">
        <f t="shared" si="1010"/>
        <v>448</v>
      </c>
    </row>
    <row r="358" spans="1:50">
      <c r="A358">
        <v>201</v>
      </c>
      <c r="B358" t="s">
        <v>879</v>
      </c>
      <c r="C358" t="s">
        <v>879</v>
      </c>
      <c r="D358">
        <v>0</v>
      </c>
      <c r="E358">
        <v>2139</v>
      </c>
      <c r="F358">
        <v>1169</v>
      </c>
      <c r="G358">
        <v>201</v>
      </c>
      <c r="H358">
        <v>2</v>
      </c>
      <c r="I358">
        <v>1</v>
      </c>
      <c r="J358">
        <v>1</v>
      </c>
      <c r="K358">
        <v>12</v>
      </c>
      <c r="L358">
        <v>4</v>
      </c>
      <c r="M358">
        <v>48</v>
      </c>
      <c r="N358">
        <v>48</v>
      </c>
      <c r="O358">
        <v>0</v>
      </c>
      <c r="P358">
        <v>26</v>
      </c>
      <c r="Q358">
        <v>0</v>
      </c>
      <c r="R358">
        <v>32</v>
      </c>
      <c r="S358">
        <v>28</v>
      </c>
      <c r="T358">
        <v>0</v>
      </c>
      <c r="U358">
        <v>10</v>
      </c>
      <c r="V358">
        <v>40</v>
      </c>
      <c r="W358">
        <v>1</v>
      </c>
      <c r="X358">
        <v>10</v>
      </c>
      <c r="Y358">
        <v>0</v>
      </c>
      <c r="Z358">
        <v>50</v>
      </c>
      <c r="AA358">
        <v>45</v>
      </c>
      <c r="AB358">
        <v>27</v>
      </c>
      <c r="AC358">
        <v>0</v>
      </c>
      <c r="AD358">
        <v>72</v>
      </c>
      <c r="AE358">
        <v>52</v>
      </c>
      <c r="AF358">
        <v>49</v>
      </c>
      <c r="AG358">
        <v>59</v>
      </c>
      <c r="AH358">
        <v>0</v>
      </c>
      <c r="AI358">
        <v>72</v>
      </c>
      <c r="AJ358">
        <v>40</v>
      </c>
      <c r="AK358">
        <v>51</v>
      </c>
      <c r="AL358">
        <v>0</v>
      </c>
      <c r="AM358">
        <v>0</v>
      </c>
      <c r="AN358">
        <v>18</v>
      </c>
      <c r="AO358">
        <v>24</v>
      </c>
      <c r="AP358">
        <v>3</v>
      </c>
      <c r="AQ358">
        <v>6</v>
      </c>
      <c r="AR358">
        <f t="shared" si="1008"/>
        <v>51</v>
      </c>
      <c r="AS358">
        <f>IF(AND(IFERROR(VLOOKUP(AJ358,Equip!$A:$N,13,FALSE),0)&gt;=5,IFERROR(VLOOKUP(AJ358,Equip!$A:$N,13,FALSE),0)&lt;=9),INT(VLOOKUP(AJ358,Equip!$A:$N,6,FALSE)*SQRT(AN358)),0)</f>
        <v>0</v>
      </c>
      <c r="AT358">
        <f>IF(AND(IFERROR(VLOOKUP(AK358,Equip!$A:$N,13,FALSE),0)&gt;=5,IFERROR(VLOOKUP(AK358,Equip!$A:$N,13,FALSE),0)&lt;=9),INT(VLOOKUP(AK358,Equip!$A:$N,6,FALSE)*SQRT(AO358)),0)</f>
        <v>0</v>
      </c>
      <c r="AU358">
        <f>IF(AND(IFERROR(VLOOKUP(AL358,Equip!$A:$N,13,FALSE),0)&gt;=5,IFERROR(VLOOKUP(AL358,Equip!$A:$N,13,FALSE),0)&lt;=9),INT(VLOOKUP(AL358,Equip!$A:$N,6,FALSE)*SQRT(AP358)),0)</f>
        <v>0</v>
      </c>
      <c r="AV358">
        <f>IF(AND(IFERROR(VLOOKUP(AM358,Equip!$A:$N,13,FALSE),0)&gt;=5,IFERROR(VLOOKUP(AM358,Equip!$A:$N,13,FALSE),0)&lt;=9),INT(VLOOKUP(AM358,Equip!$A:$N,6,FALSE)*SQRT(AQ358)),0)</f>
        <v>0</v>
      </c>
      <c r="AW358">
        <f t="shared" si="1009"/>
        <v>0</v>
      </c>
      <c r="AX358">
        <f t="shared" si="1010"/>
        <v>330</v>
      </c>
    </row>
    <row r="359" spans="1:50">
      <c r="A359">
        <v>201</v>
      </c>
      <c r="B359" t="s">
        <v>879</v>
      </c>
      <c r="C359" t="s">
        <v>879</v>
      </c>
      <c r="D359">
        <v>1</v>
      </c>
      <c r="E359">
        <f>E358</f>
        <v>2139</v>
      </c>
      <c r="F359">
        <f t="shared" ref="F359" si="1127">F358</f>
        <v>1169</v>
      </c>
      <c r="G359">
        <f t="shared" ref="G359" si="1128">G358</f>
        <v>201</v>
      </c>
      <c r="H359">
        <f t="shared" ref="H359" si="1129">H358</f>
        <v>2</v>
      </c>
      <c r="I359">
        <f t="shared" ref="I359" si="1130">I358</f>
        <v>1</v>
      </c>
      <c r="J359">
        <f t="shared" ref="J359" si="1131">J358</f>
        <v>1</v>
      </c>
      <c r="K359">
        <v>12</v>
      </c>
      <c r="L359">
        <v>4</v>
      </c>
      <c r="M359">
        <v>60</v>
      </c>
      <c r="N359">
        <v>60</v>
      </c>
      <c r="O359">
        <v>0</v>
      </c>
      <c r="P359">
        <v>35</v>
      </c>
      <c r="Q359">
        <v>0</v>
      </c>
      <c r="R359">
        <v>35</v>
      </c>
      <c r="S359">
        <v>32</v>
      </c>
      <c r="T359">
        <v>0</v>
      </c>
      <c r="U359">
        <f t="shared" ref="U359" si="1132">U358</f>
        <v>10</v>
      </c>
      <c r="V359">
        <v>48</v>
      </c>
      <c r="W359">
        <f t="shared" ref="W359" si="1133">W358</f>
        <v>1</v>
      </c>
      <c r="X359">
        <v>12</v>
      </c>
      <c r="Y359">
        <f t="shared" ref="Y359" si="1134">Y358</f>
        <v>0</v>
      </c>
      <c r="Z359">
        <v>50</v>
      </c>
      <c r="AA359">
        <v>55</v>
      </c>
      <c r="AB359">
        <v>48</v>
      </c>
      <c r="AC359">
        <v>0</v>
      </c>
      <c r="AD359">
        <v>78</v>
      </c>
      <c r="AE359">
        <v>77</v>
      </c>
      <c r="AF359">
        <v>59</v>
      </c>
      <c r="AG359">
        <v>72</v>
      </c>
      <c r="AH359">
        <v>0</v>
      </c>
      <c r="AI359">
        <v>82</v>
      </c>
      <c r="AJ359">
        <v>109</v>
      </c>
      <c r="AK359">
        <v>112</v>
      </c>
      <c r="AL359">
        <v>111</v>
      </c>
      <c r="AM359">
        <v>54</v>
      </c>
      <c r="AN359">
        <v>18</v>
      </c>
      <c r="AO359">
        <v>21</v>
      </c>
      <c r="AP359">
        <v>27</v>
      </c>
      <c r="AQ359">
        <v>3</v>
      </c>
      <c r="AR359">
        <f t="shared" si="1008"/>
        <v>69</v>
      </c>
      <c r="AS359">
        <f>IF(AND(IFERROR(VLOOKUP(AJ359,Equip!$A:$N,13,FALSE),0)&gt;=5,IFERROR(VLOOKUP(AJ359,Equip!$A:$N,13,FALSE),0)&lt;=9),INT(VLOOKUP(AJ359,Equip!$A:$N,6,FALSE)*SQRT(AN359)),0)</f>
        <v>0</v>
      </c>
      <c r="AT359">
        <f>IF(AND(IFERROR(VLOOKUP(AK359,Equip!$A:$N,13,FALSE),0)&gt;=5,IFERROR(VLOOKUP(AK359,Equip!$A:$N,13,FALSE),0)&lt;=9),INT(VLOOKUP(AK359,Equip!$A:$N,6,FALSE)*SQRT(AO359)),0)</f>
        <v>0</v>
      </c>
      <c r="AU359">
        <f>IF(AND(IFERROR(VLOOKUP(AL359,Equip!$A:$N,13,FALSE),0)&gt;=5,IFERROR(VLOOKUP(AL359,Equip!$A:$N,13,FALSE),0)&lt;=9),INT(VLOOKUP(AL359,Equip!$A:$N,6,FALSE)*SQRT(AP359)),0)</f>
        <v>0</v>
      </c>
      <c r="AV359">
        <f>IF(AND(IFERROR(VLOOKUP(AM359,Equip!$A:$N,13,FALSE),0)&gt;=5,IFERROR(VLOOKUP(AM359,Equip!$A:$N,13,FALSE),0)&lt;=9),INT(VLOOKUP(AM359,Equip!$A:$N,6,FALSE)*SQRT(AQ359)),0)</f>
        <v>0</v>
      </c>
      <c r="AW359">
        <f t="shared" si="1009"/>
        <v>0</v>
      </c>
      <c r="AX359">
        <f t="shared" si="1010"/>
        <v>417</v>
      </c>
    </row>
    <row r="360" spans="1:50">
      <c r="A360">
        <v>202</v>
      </c>
      <c r="B360" t="s">
        <v>880</v>
      </c>
      <c r="C360" t="s">
        <v>880</v>
      </c>
      <c r="D360">
        <v>0</v>
      </c>
      <c r="E360">
        <v>2139</v>
      </c>
      <c r="F360">
        <v>1169</v>
      </c>
      <c r="G360">
        <v>202</v>
      </c>
      <c r="H360">
        <v>2</v>
      </c>
      <c r="I360">
        <v>1</v>
      </c>
      <c r="J360">
        <v>0</v>
      </c>
      <c r="K360">
        <v>12</v>
      </c>
      <c r="L360">
        <v>4</v>
      </c>
      <c r="M360">
        <v>48</v>
      </c>
      <c r="N360">
        <v>48</v>
      </c>
      <c r="O360">
        <v>0</v>
      </c>
      <c r="P360">
        <v>26</v>
      </c>
      <c r="Q360">
        <v>0</v>
      </c>
      <c r="R360">
        <v>31</v>
      </c>
      <c r="S360">
        <v>27</v>
      </c>
      <c r="T360">
        <v>0</v>
      </c>
      <c r="U360">
        <v>10</v>
      </c>
      <c r="V360">
        <v>38</v>
      </c>
      <c r="W360">
        <v>1</v>
      </c>
      <c r="X360">
        <v>13</v>
      </c>
      <c r="Y360">
        <v>0</v>
      </c>
      <c r="Z360">
        <v>50</v>
      </c>
      <c r="AA360">
        <v>45</v>
      </c>
      <c r="AB360">
        <v>25</v>
      </c>
      <c r="AC360">
        <v>0</v>
      </c>
      <c r="AD360">
        <v>72</v>
      </c>
      <c r="AE360">
        <v>52</v>
      </c>
      <c r="AF360">
        <v>59</v>
      </c>
      <c r="AG360">
        <v>59</v>
      </c>
      <c r="AH360">
        <v>0</v>
      </c>
      <c r="AI360">
        <v>74</v>
      </c>
      <c r="AJ360">
        <v>40</v>
      </c>
      <c r="AK360">
        <v>10</v>
      </c>
      <c r="AL360">
        <v>0</v>
      </c>
      <c r="AM360">
        <v>0</v>
      </c>
      <c r="AN360">
        <v>18</v>
      </c>
      <c r="AO360">
        <v>24</v>
      </c>
      <c r="AP360">
        <v>3</v>
      </c>
      <c r="AQ360">
        <v>6</v>
      </c>
      <c r="AR360">
        <f t="shared" si="1008"/>
        <v>51</v>
      </c>
      <c r="AS360">
        <f>IF(AND(IFERROR(VLOOKUP(AJ360,Equip!$A:$N,13,FALSE),0)&gt;=5,IFERROR(VLOOKUP(AJ360,Equip!$A:$N,13,FALSE),0)&lt;=9),INT(VLOOKUP(AJ360,Equip!$A:$N,6,FALSE)*SQRT(AN360)),0)</f>
        <v>0</v>
      </c>
      <c r="AT360">
        <f>IF(AND(IFERROR(VLOOKUP(AK360,Equip!$A:$N,13,FALSE),0)&gt;=5,IFERROR(VLOOKUP(AK360,Equip!$A:$N,13,FALSE),0)&lt;=9),INT(VLOOKUP(AK360,Equip!$A:$N,6,FALSE)*SQRT(AO360)),0)</f>
        <v>0</v>
      </c>
      <c r="AU360">
        <f>IF(AND(IFERROR(VLOOKUP(AL360,Equip!$A:$N,13,FALSE),0)&gt;=5,IFERROR(VLOOKUP(AL360,Equip!$A:$N,13,FALSE),0)&lt;=9),INT(VLOOKUP(AL360,Equip!$A:$N,6,FALSE)*SQRT(AP360)),0)</f>
        <v>0</v>
      </c>
      <c r="AV360">
        <f>IF(AND(IFERROR(VLOOKUP(AM360,Equip!$A:$N,13,FALSE),0)&gt;=5,IFERROR(VLOOKUP(AM360,Equip!$A:$N,13,FALSE),0)&lt;=9),INT(VLOOKUP(AM360,Equip!$A:$N,6,FALSE)*SQRT(AQ360)),0)</f>
        <v>0</v>
      </c>
      <c r="AW360">
        <f t="shared" si="1009"/>
        <v>0</v>
      </c>
      <c r="AX360">
        <f t="shared" si="1010"/>
        <v>330</v>
      </c>
    </row>
    <row r="361" spans="1:50">
      <c r="A361">
        <v>202</v>
      </c>
      <c r="B361" t="s">
        <v>880</v>
      </c>
      <c r="C361" t="s">
        <v>880</v>
      </c>
      <c r="D361">
        <v>1</v>
      </c>
      <c r="E361">
        <f>E360</f>
        <v>2139</v>
      </c>
      <c r="F361">
        <f t="shared" ref="F361" si="1135">F360</f>
        <v>1169</v>
      </c>
      <c r="G361">
        <f t="shared" ref="G361" si="1136">G360</f>
        <v>202</v>
      </c>
      <c r="H361">
        <f t="shared" ref="H361" si="1137">H360</f>
        <v>2</v>
      </c>
      <c r="I361">
        <f t="shared" ref="I361" si="1138">I360</f>
        <v>1</v>
      </c>
      <c r="J361">
        <f t="shared" ref="J361" si="1139">J360</f>
        <v>0</v>
      </c>
      <c r="K361">
        <v>12</v>
      </c>
      <c r="L361">
        <v>4</v>
      </c>
      <c r="M361">
        <v>60</v>
      </c>
      <c r="N361">
        <v>60</v>
      </c>
      <c r="O361">
        <v>0</v>
      </c>
      <c r="P361">
        <v>44</v>
      </c>
      <c r="Q361">
        <v>0</v>
      </c>
      <c r="R361">
        <v>36</v>
      </c>
      <c r="S361">
        <v>33</v>
      </c>
      <c r="T361">
        <v>0</v>
      </c>
      <c r="U361">
        <f t="shared" ref="U361" si="1140">U360</f>
        <v>10</v>
      </c>
      <c r="V361">
        <v>63</v>
      </c>
      <c r="W361">
        <f t="shared" ref="W361" si="1141">W360</f>
        <v>1</v>
      </c>
      <c r="X361">
        <v>17</v>
      </c>
      <c r="Y361">
        <f t="shared" ref="Y361" si="1142">Y360</f>
        <v>0</v>
      </c>
      <c r="Z361">
        <v>50</v>
      </c>
      <c r="AA361">
        <v>55</v>
      </c>
      <c r="AB361">
        <v>45</v>
      </c>
      <c r="AC361">
        <v>0</v>
      </c>
      <c r="AD361">
        <v>79</v>
      </c>
      <c r="AE361">
        <v>76</v>
      </c>
      <c r="AF361">
        <v>69</v>
      </c>
      <c r="AG361">
        <v>73</v>
      </c>
      <c r="AH361">
        <v>0</v>
      </c>
      <c r="AI361">
        <v>80</v>
      </c>
      <c r="AJ361">
        <v>109</v>
      </c>
      <c r="AK361">
        <v>111</v>
      </c>
      <c r="AL361">
        <v>112</v>
      </c>
      <c r="AM361">
        <v>51</v>
      </c>
      <c r="AN361">
        <v>18</v>
      </c>
      <c r="AO361">
        <v>21</v>
      </c>
      <c r="AP361">
        <v>27</v>
      </c>
      <c r="AQ361">
        <v>3</v>
      </c>
      <c r="AR361">
        <f t="shared" si="1008"/>
        <v>69</v>
      </c>
      <c r="AS361">
        <f>IF(AND(IFERROR(VLOOKUP(AJ361,Equip!$A:$N,13,FALSE),0)&gt;=5,IFERROR(VLOOKUP(AJ361,Equip!$A:$N,13,FALSE),0)&lt;=9),INT(VLOOKUP(AJ361,Equip!$A:$N,6,FALSE)*SQRT(AN361)),0)</f>
        <v>0</v>
      </c>
      <c r="AT361">
        <f>IF(AND(IFERROR(VLOOKUP(AK361,Equip!$A:$N,13,FALSE),0)&gt;=5,IFERROR(VLOOKUP(AK361,Equip!$A:$N,13,FALSE),0)&lt;=9),INT(VLOOKUP(AK361,Equip!$A:$N,6,FALSE)*SQRT(AO361)),0)</f>
        <v>0</v>
      </c>
      <c r="AU361">
        <f>IF(AND(IFERROR(VLOOKUP(AL361,Equip!$A:$N,13,FALSE),0)&gt;=5,IFERROR(VLOOKUP(AL361,Equip!$A:$N,13,FALSE),0)&lt;=9),INT(VLOOKUP(AL361,Equip!$A:$N,6,FALSE)*SQRT(AP361)),0)</f>
        <v>0</v>
      </c>
      <c r="AV361">
        <f>IF(AND(IFERROR(VLOOKUP(AM361,Equip!$A:$N,13,FALSE),0)&gt;=5,IFERROR(VLOOKUP(AM361,Equip!$A:$N,13,FALSE),0)&lt;=9),INT(VLOOKUP(AM361,Equip!$A:$N,6,FALSE)*SQRT(AQ361)),0)</f>
        <v>0</v>
      </c>
      <c r="AW361">
        <f t="shared" si="1009"/>
        <v>0</v>
      </c>
      <c r="AX361">
        <f t="shared" si="1010"/>
        <v>413</v>
      </c>
    </row>
    <row r="362" spans="1:50">
      <c r="A362">
        <v>203</v>
      </c>
      <c r="B362" t="s">
        <v>881</v>
      </c>
      <c r="C362" t="s">
        <v>881</v>
      </c>
      <c r="D362">
        <v>0</v>
      </c>
      <c r="E362">
        <v>2139</v>
      </c>
      <c r="F362">
        <v>1169</v>
      </c>
      <c r="G362">
        <v>203</v>
      </c>
      <c r="H362">
        <v>1</v>
      </c>
      <c r="I362">
        <v>1</v>
      </c>
      <c r="J362">
        <v>3</v>
      </c>
      <c r="K362">
        <v>12</v>
      </c>
      <c r="L362">
        <v>4</v>
      </c>
      <c r="M362">
        <v>48</v>
      </c>
      <c r="N362">
        <v>48</v>
      </c>
      <c r="O362">
        <v>0</v>
      </c>
      <c r="P362">
        <v>27</v>
      </c>
      <c r="Q362">
        <v>0</v>
      </c>
      <c r="R362">
        <v>34</v>
      </c>
      <c r="S362">
        <v>27</v>
      </c>
      <c r="T362">
        <v>0</v>
      </c>
      <c r="U362">
        <v>10</v>
      </c>
      <c r="V362">
        <v>36</v>
      </c>
      <c r="W362">
        <v>1</v>
      </c>
      <c r="X362">
        <v>20</v>
      </c>
      <c r="Y362">
        <v>0</v>
      </c>
      <c r="Z362">
        <v>50</v>
      </c>
      <c r="AA362">
        <v>45</v>
      </c>
      <c r="AB362">
        <v>25</v>
      </c>
      <c r="AC362">
        <v>0</v>
      </c>
      <c r="AD362">
        <v>72</v>
      </c>
      <c r="AE362">
        <v>52</v>
      </c>
      <c r="AF362">
        <v>69</v>
      </c>
      <c r="AG362">
        <v>59</v>
      </c>
      <c r="AH362">
        <v>0</v>
      </c>
      <c r="AI362">
        <v>70</v>
      </c>
      <c r="AJ362">
        <v>39</v>
      </c>
      <c r="AK362">
        <v>40</v>
      </c>
      <c r="AL362">
        <v>0</v>
      </c>
      <c r="AM362">
        <v>0</v>
      </c>
      <c r="AN362">
        <v>18</v>
      </c>
      <c r="AO362">
        <v>24</v>
      </c>
      <c r="AP362">
        <v>3</v>
      </c>
      <c r="AQ362">
        <v>6</v>
      </c>
      <c r="AR362">
        <f t="shared" si="1008"/>
        <v>51</v>
      </c>
      <c r="AS362">
        <f>IF(AND(IFERROR(VLOOKUP(AJ362,Equip!$A:$N,13,FALSE),0)&gt;=5,IFERROR(VLOOKUP(AJ362,Equip!$A:$N,13,FALSE),0)&lt;=9),INT(VLOOKUP(AJ362,Equip!$A:$N,6,FALSE)*SQRT(AN362)),0)</f>
        <v>0</v>
      </c>
      <c r="AT362">
        <f>IF(AND(IFERROR(VLOOKUP(AK362,Equip!$A:$N,13,FALSE),0)&gt;=5,IFERROR(VLOOKUP(AK362,Equip!$A:$N,13,FALSE),0)&lt;=9),INT(VLOOKUP(AK362,Equip!$A:$N,6,FALSE)*SQRT(AO362)),0)</f>
        <v>0</v>
      </c>
      <c r="AU362">
        <f>IF(AND(IFERROR(VLOOKUP(AL362,Equip!$A:$N,13,FALSE),0)&gt;=5,IFERROR(VLOOKUP(AL362,Equip!$A:$N,13,FALSE),0)&lt;=9),INT(VLOOKUP(AL362,Equip!$A:$N,6,FALSE)*SQRT(AP362)),0)</f>
        <v>0</v>
      </c>
      <c r="AV362">
        <f>IF(AND(IFERROR(VLOOKUP(AM362,Equip!$A:$N,13,FALSE),0)&gt;=5,IFERROR(VLOOKUP(AM362,Equip!$A:$N,13,FALSE),0)&lt;=9),INT(VLOOKUP(AM362,Equip!$A:$N,6,FALSE)*SQRT(AQ362)),0)</f>
        <v>0</v>
      </c>
      <c r="AW362">
        <f t="shared" si="1009"/>
        <v>0</v>
      </c>
      <c r="AX362">
        <f t="shared" si="1010"/>
        <v>326</v>
      </c>
    </row>
    <row r="363" spans="1:50">
      <c r="A363">
        <v>203</v>
      </c>
      <c r="B363" t="s">
        <v>881</v>
      </c>
      <c r="C363" t="s">
        <v>881</v>
      </c>
      <c r="D363">
        <v>1</v>
      </c>
      <c r="E363">
        <f>E362</f>
        <v>2139</v>
      </c>
      <c r="F363">
        <f t="shared" ref="F363" si="1143">F362</f>
        <v>1169</v>
      </c>
      <c r="G363">
        <f t="shared" ref="G363" si="1144">G362</f>
        <v>203</v>
      </c>
      <c r="H363">
        <f t="shared" ref="H363" si="1145">H362</f>
        <v>1</v>
      </c>
      <c r="I363">
        <f t="shared" ref="I363" si="1146">I362</f>
        <v>1</v>
      </c>
      <c r="J363">
        <f t="shared" ref="J363" si="1147">J362</f>
        <v>3</v>
      </c>
      <c r="K363">
        <v>12</v>
      </c>
      <c r="L363">
        <v>4</v>
      </c>
      <c r="M363">
        <v>60</v>
      </c>
      <c r="N363">
        <v>60</v>
      </c>
      <c r="O363">
        <v>0</v>
      </c>
      <c r="P363">
        <v>36</v>
      </c>
      <c r="Q363">
        <v>0</v>
      </c>
      <c r="R363">
        <v>37</v>
      </c>
      <c r="S363">
        <v>32</v>
      </c>
      <c r="T363">
        <v>0</v>
      </c>
      <c r="U363">
        <f t="shared" ref="U363" si="1148">U362</f>
        <v>10</v>
      </c>
      <c r="V363">
        <v>44</v>
      </c>
      <c r="W363">
        <f t="shared" ref="W363" si="1149">W362</f>
        <v>1</v>
      </c>
      <c r="X363">
        <v>30</v>
      </c>
      <c r="Y363">
        <f t="shared" ref="Y363" si="1150">Y362</f>
        <v>0</v>
      </c>
      <c r="Z363">
        <v>50</v>
      </c>
      <c r="AA363">
        <v>55</v>
      </c>
      <c r="AB363">
        <v>45</v>
      </c>
      <c r="AC363">
        <v>0</v>
      </c>
      <c r="AD363">
        <v>78</v>
      </c>
      <c r="AE363">
        <v>78</v>
      </c>
      <c r="AF363">
        <v>79</v>
      </c>
      <c r="AG363">
        <v>75</v>
      </c>
      <c r="AH363">
        <v>0</v>
      </c>
      <c r="AI363">
        <v>78</v>
      </c>
      <c r="AJ363">
        <v>109</v>
      </c>
      <c r="AK363">
        <v>113</v>
      </c>
      <c r="AL363">
        <v>39</v>
      </c>
      <c r="AM363">
        <v>51</v>
      </c>
      <c r="AN363">
        <v>18</v>
      </c>
      <c r="AO363">
        <v>21</v>
      </c>
      <c r="AP363">
        <v>27</v>
      </c>
      <c r="AQ363">
        <v>3</v>
      </c>
      <c r="AR363">
        <f t="shared" si="1008"/>
        <v>69</v>
      </c>
      <c r="AS363">
        <f>IF(AND(IFERROR(VLOOKUP(AJ363,Equip!$A:$N,13,FALSE),0)&gt;=5,IFERROR(VLOOKUP(AJ363,Equip!$A:$N,13,FALSE),0)&lt;=9),INT(VLOOKUP(AJ363,Equip!$A:$N,6,FALSE)*SQRT(AN363)),0)</f>
        <v>0</v>
      </c>
      <c r="AT363">
        <f>IF(AND(IFERROR(VLOOKUP(AK363,Equip!$A:$N,13,FALSE),0)&gt;=5,IFERROR(VLOOKUP(AK363,Equip!$A:$N,13,FALSE),0)&lt;=9),INT(VLOOKUP(AK363,Equip!$A:$N,6,FALSE)*SQRT(AO363)),0)</f>
        <v>0</v>
      </c>
      <c r="AU363">
        <f>IF(AND(IFERROR(VLOOKUP(AL363,Equip!$A:$N,13,FALSE),0)&gt;=5,IFERROR(VLOOKUP(AL363,Equip!$A:$N,13,FALSE),0)&lt;=9),INT(VLOOKUP(AL363,Equip!$A:$N,6,FALSE)*SQRT(AP363)),0)</f>
        <v>0</v>
      </c>
      <c r="AV363">
        <f>IF(AND(IFERROR(VLOOKUP(AM363,Equip!$A:$N,13,FALSE),0)&gt;=5,IFERROR(VLOOKUP(AM363,Equip!$A:$N,13,FALSE),0)&lt;=9),INT(VLOOKUP(AM363,Equip!$A:$N,6,FALSE)*SQRT(AQ363)),0)</f>
        <v>0</v>
      </c>
      <c r="AW363">
        <f t="shared" si="1009"/>
        <v>0</v>
      </c>
      <c r="AX363">
        <f t="shared" si="1010"/>
        <v>414</v>
      </c>
    </row>
    <row r="364" spans="1:50">
      <c r="A364">
        <v>205</v>
      </c>
      <c r="B364" t="s">
        <v>882</v>
      </c>
      <c r="C364" t="s">
        <v>882</v>
      </c>
      <c r="D364">
        <v>0</v>
      </c>
      <c r="E364">
        <v>1320</v>
      </c>
      <c r="F364">
        <v>760</v>
      </c>
      <c r="G364">
        <v>205</v>
      </c>
      <c r="H364">
        <v>1</v>
      </c>
      <c r="I364">
        <v>1</v>
      </c>
      <c r="J364">
        <v>5</v>
      </c>
      <c r="K364">
        <v>1</v>
      </c>
      <c r="L364">
        <v>1</v>
      </c>
      <c r="M364">
        <v>16</v>
      </c>
      <c r="N364">
        <v>16</v>
      </c>
      <c r="O364">
        <v>10</v>
      </c>
      <c r="P364">
        <v>6</v>
      </c>
      <c r="Q364">
        <v>24</v>
      </c>
      <c r="R364">
        <v>43</v>
      </c>
      <c r="S364">
        <v>9</v>
      </c>
      <c r="T364">
        <v>21</v>
      </c>
      <c r="U364">
        <v>10</v>
      </c>
      <c r="V364">
        <v>5</v>
      </c>
      <c r="W364">
        <v>1</v>
      </c>
      <c r="X364">
        <v>10</v>
      </c>
      <c r="Y364">
        <v>0</v>
      </c>
      <c r="Z364">
        <v>15</v>
      </c>
      <c r="AA364">
        <v>20</v>
      </c>
      <c r="AB364">
        <v>29</v>
      </c>
      <c r="AC364">
        <v>69</v>
      </c>
      <c r="AD364">
        <v>39</v>
      </c>
      <c r="AE364">
        <v>19</v>
      </c>
      <c r="AF364">
        <v>49</v>
      </c>
      <c r="AG364">
        <v>79</v>
      </c>
      <c r="AH364">
        <v>49</v>
      </c>
      <c r="AI364">
        <v>19</v>
      </c>
      <c r="AJ364">
        <v>2</v>
      </c>
      <c r="AK364">
        <v>92</v>
      </c>
      <c r="AL364">
        <v>-1</v>
      </c>
      <c r="AM364">
        <v>-1</v>
      </c>
      <c r="AN364">
        <v>0</v>
      </c>
      <c r="AO364">
        <v>0</v>
      </c>
      <c r="AP364">
        <v>0</v>
      </c>
      <c r="AQ364">
        <v>0</v>
      </c>
      <c r="AR364">
        <f t="shared" si="1008"/>
        <v>0</v>
      </c>
      <c r="AS364">
        <f>IF(AND(IFERROR(VLOOKUP(AJ364,Equip!$A:$N,13,FALSE),0)&gt;=5,IFERROR(VLOOKUP(AJ364,Equip!$A:$N,13,FALSE),0)&lt;=9),INT(VLOOKUP(AJ364,Equip!$A:$N,6,FALSE)*SQRT(AN364)),0)</f>
        <v>0</v>
      </c>
      <c r="AT364">
        <f>IF(AND(IFERROR(VLOOKUP(AK364,Equip!$A:$N,13,FALSE),0)&gt;=5,IFERROR(VLOOKUP(AK364,Equip!$A:$N,13,FALSE),0)&lt;=9),INT(VLOOKUP(AK364,Equip!$A:$N,6,FALSE)*SQRT(AO364)),0)</f>
        <v>0</v>
      </c>
      <c r="AU364">
        <f>IF(AND(IFERROR(VLOOKUP(AL364,Equip!$A:$N,13,FALSE),0)&gt;=5,IFERROR(VLOOKUP(AL364,Equip!$A:$N,13,FALSE),0)&lt;=9),INT(VLOOKUP(AL364,Equip!$A:$N,6,FALSE)*SQRT(AP364)),0)</f>
        <v>0</v>
      </c>
      <c r="AV364">
        <f>IF(AND(IFERROR(VLOOKUP(AM364,Equip!$A:$N,13,FALSE),0)&gt;=5,IFERROR(VLOOKUP(AM364,Equip!$A:$N,13,FALSE),0)&lt;=9),INT(VLOOKUP(AM364,Equip!$A:$N,6,FALSE)*SQRT(AQ364)),0)</f>
        <v>0</v>
      </c>
      <c r="AW364">
        <f t="shared" si="1009"/>
        <v>0</v>
      </c>
      <c r="AX364">
        <f t="shared" si="1010"/>
        <v>319</v>
      </c>
    </row>
    <row r="365" spans="1:50">
      <c r="A365">
        <v>205</v>
      </c>
      <c r="B365" t="s">
        <v>882</v>
      </c>
      <c r="C365" t="s">
        <v>882</v>
      </c>
      <c r="D365">
        <v>1</v>
      </c>
      <c r="E365">
        <f>E364</f>
        <v>1320</v>
      </c>
      <c r="F365">
        <f t="shared" ref="F365" si="1151">F364</f>
        <v>760</v>
      </c>
      <c r="G365">
        <f t="shared" ref="G365" si="1152">G364</f>
        <v>205</v>
      </c>
      <c r="H365">
        <f t="shared" ref="H365" si="1153">H364</f>
        <v>1</v>
      </c>
      <c r="I365">
        <f t="shared" ref="I365" si="1154">I364</f>
        <v>1</v>
      </c>
      <c r="J365">
        <f t="shared" ref="J365" si="1155">J364</f>
        <v>5</v>
      </c>
      <c r="K365">
        <v>1</v>
      </c>
      <c r="L365">
        <v>1</v>
      </c>
      <c r="M365">
        <v>30</v>
      </c>
      <c r="N365">
        <v>30</v>
      </c>
      <c r="O365">
        <v>17</v>
      </c>
      <c r="P365">
        <v>23</v>
      </c>
      <c r="Q365">
        <v>35</v>
      </c>
      <c r="R365">
        <v>58</v>
      </c>
      <c r="S365">
        <v>20</v>
      </c>
      <c r="T365">
        <v>34</v>
      </c>
      <c r="U365">
        <f t="shared" ref="U365" si="1156">U364</f>
        <v>10</v>
      </c>
      <c r="V365">
        <v>16</v>
      </c>
      <c r="W365">
        <f t="shared" ref="W365" si="1157">W364</f>
        <v>1</v>
      </c>
      <c r="X365">
        <v>12</v>
      </c>
      <c r="Y365">
        <f t="shared" ref="Y365" si="1158">Y364</f>
        <v>0</v>
      </c>
      <c r="Z365">
        <v>15</v>
      </c>
      <c r="AA365">
        <v>20</v>
      </c>
      <c r="AB365">
        <v>49</v>
      </c>
      <c r="AC365">
        <v>79</v>
      </c>
      <c r="AD365">
        <v>49</v>
      </c>
      <c r="AE365">
        <v>49</v>
      </c>
      <c r="AF365">
        <v>59</v>
      </c>
      <c r="AG365">
        <v>89</v>
      </c>
      <c r="AH365">
        <v>59</v>
      </c>
      <c r="AI365">
        <v>39</v>
      </c>
      <c r="AJ365">
        <v>63</v>
      </c>
      <c r="AK365">
        <v>75</v>
      </c>
      <c r="AL365">
        <v>0</v>
      </c>
      <c r="AM365">
        <v>-1</v>
      </c>
      <c r="AN365">
        <v>0</v>
      </c>
      <c r="AO365">
        <v>0</v>
      </c>
      <c r="AP365">
        <v>0</v>
      </c>
      <c r="AQ365">
        <v>0</v>
      </c>
      <c r="AR365">
        <f t="shared" si="1008"/>
        <v>0</v>
      </c>
      <c r="AS365">
        <f>IF(AND(IFERROR(VLOOKUP(AJ365,Equip!$A:$N,13,FALSE),0)&gt;=5,IFERROR(VLOOKUP(AJ365,Equip!$A:$N,13,FALSE),0)&lt;=9),INT(VLOOKUP(AJ365,Equip!$A:$N,6,FALSE)*SQRT(AN365)),0)</f>
        <v>0</v>
      </c>
      <c r="AT365">
        <f>IF(AND(IFERROR(VLOOKUP(AK365,Equip!$A:$N,13,FALSE),0)&gt;=5,IFERROR(VLOOKUP(AK365,Equip!$A:$N,13,FALSE),0)&lt;=9),INT(VLOOKUP(AK365,Equip!$A:$N,6,FALSE)*SQRT(AO365)),0)</f>
        <v>0</v>
      </c>
      <c r="AU365">
        <f>IF(AND(IFERROR(VLOOKUP(AL365,Equip!$A:$N,13,FALSE),0)&gt;=5,IFERROR(VLOOKUP(AL365,Equip!$A:$N,13,FALSE),0)&lt;=9),INT(VLOOKUP(AL365,Equip!$A:$N,6,FALSE)*SQRT(AP365)),0)</f>
        <v>0</v>
      </c>
      <c r="AV365">
        <f>IF(AND(IFERROR(VLOOKUP(AM365,Equip!$A:$N,13,FALSE),0)&gt;=5,IFERROR(VLOOKUP(AM365,Equip!$A:$N,13,FALSE),0)&lt;=9),INT(VLOOKUP(AM365,Equip!$A:$N,6,FALSE)*SQRT(AQ365)),0)</f>
        <v>0</v>
      </c>
      <c r="AW365">
        <f t="shared" si="1009"/>
        <v>0</v>
      </c>
      <c r="AX365">
        <f t="shared" si="1010"/>
        <v>443</v>
      </c>
    </row>
    <row r="366" spans="1:50">
      <c r="A366">
        <v>209</v>
      </c>
      <c r="B366" t="s">
        <v>883</v>
      </c>
      <c r="C366" t="s">
        <v>883</v>
      </c>
      <c r="D366">
        <v>0</v>
      </c>
      <c r="E366">
        <v>1320</v>
      </c>
      <c r="F366">
        <v>760</v>
      </c>
      <c r="G366">
        <v>209</v>
      </c>
      <c r="H366">
        <v>1</v>
      </c>
      <c r="I366">
        <v>1</v>
      </c>
      <c r="J366">
        <v>12</v>
      </c>
      <c r="K366">
        <v>1</v>
      </c>
      <c r="L366">
        <v>1</v>
      </c>
      <c r="M366">
        <v>16</v>
      </c>
      <c r="N366">
        <v>16</v>
      </c>
      <c r="O366">
        <v>12</v>
      </c>
      <c r="P366">
        <v>6</v>
      </c>
      <c r="Q366">
        <v>24</v>
      </c>
      <c r="R366">
        <v>47</v>
      </c>
      <c r="S366">
        <v>15</v>
      </c>
      <c r="T366">
        <v>27</v>
      </c>
      <c r="U366">
        <v>10</v>
      </c>
      <c r="V366">
        <v>6</v>
      </c>
      <c r="W366">
        <v>1</v>
      </c>
      <c r="X366">
        <v>11</v>
      </c>
      <c r="Y366">
        <v>0</v>
      </c>
      <c r="Z366">
        <v>15</v>
      </c>
      <c r="AA366">
        <v>20</v>
      </c>
      <c r="AB366">
        <v>30</v>
      </c>
      <c r="AC366">
        <v>69</v>
      </c>
      <c r="AD366">
        <v>39</v>
      </c>
      <c r="AE366">
        <v>19</v>
      </c>
      <c r="AF366">
        <v>49</v>
      </c>
      <c r="AG366">
        <v>80</v>
      </c>
      <c r="AH366">
        <v>52</v>
      </c>
      <c r="AI366">
        <v>19</v>
      </c>
      <c r="AJ366">
        <v>2</v>
      </c>
      <c r="AK366">
        <v>39</v>
      </c>
      <c r="AL366">
        <v>-1</v>
      </c>
      <c r="AM366">
        <v>-1</v>
      </c>
      <c r="AN366">
        <v>0</v>
      </c>
      <c r="AO366">
        <v>0</v>
      </c>
      <c r="AP366">
        <v>0</v>
      </c>
      <c r="AQ366">
        <v>0</v>
      </c>
      <c r="AR366">
        <f t="shared" si="1008"/>
        <v>0</v>
      </c>
      <c r="AS366">
        <f>IF(AND(IFERROR(VLOOKUP(AJ366,Equip!$A:$N,13,FALSE),0)&gt;=5,IFERROR(VLOOKUP(AJ366,Equip!$A:$N,13,FALSE),0)&lt;=9),INT(VLOOKUP(AJ366,Equip!$A:$N,6,FALSE)*SQRT(AN366)),0)</f>
        <v>0</v>
      </c>
      <c r="AT366">
        <f>IF(AND(IFERROR(VLOOKUP(AK366,Equip!$A:$N,13,FALSE),0)&gt;=5,IFERROR(VLOOKUP(AK366,Equip!$A:$N,13,FALSE),0)&lt;=9),INT(VLOOKUP(AK366,Equip!$A:$N,6,FALSE)*SQRT(AO366)),0)</f>
        <v>0</v>
      </c>
      <c r="AU366">
        <f>IF(AND(IFERROR(VLOOKUP(AL366,Equip!$A:$N,13,FALSE),0)&gt;=5,IFERROR(VLOOKUP(AL366,Equip!$A:$N,13,FALSE),0)&lt;=9),INT(VLOOKUP(AL366,Equip!$A:$N,6,FALSE)*SQRT(AP366)),0)</f>
        <v>0</v>
      </c>
      <c r="AV366">
        <f>IF(AND(IFERROR(VLOOKUP(AM366,Equip!$A:$N,13,FALSE),0)&gt;=5,IFERROR(VLOOKUP(AM366,Equip!$A:$N,13,FALSE),0)&lt;=9),INT(VLOOKUP(AM366,Equip!$A:$N,6,FALSE)*SQRT(AQ366)),0)</f>
        <v>0</v>
      </c>
      <c r="AW366">
        <f t="shared" si="1009"/>
        <v>0</v>
      </c>
      <c r="AX366">
        <f t="shared" si="1010"/>
        <v>324</v>
      </c>
    </row>
    <row r="367" spans="1:50">
      <c r="A367">
        <v>209</v>
      </c>
      <c r="B367" t="s">
        <v>883</v>
      </c>
      <c r="C367" t="s">
        <v>883</v>
      </c>
      <c r="D367">
        <v>1</v>
      </c>
      <c r="E367">
        <f>E366</f>
        <v>1320</v>
      </c>
      <c r="F367">
        <f t="shared" ref="F367" si="1159">F366</f>
        <v>760</v>
      </c>
      <c r="G367">
        <f t="shared" ref="G367" si="1160">G366</f>
        <v>209</v>
      </c>
      <c r="H367">
        <f t="shared" ref="H367" si="1161">H366</f>
        <v>1</v>
      </c>
      <c r="I367">
        <f t="shared" ref="I367" si="1162">I366</f>
        <v>1</v>
      </c>
      <c r="J367">
        <f t="shared" ref="J367" si="1163">J366</f>
        <v>12</v>
      </c>
      <c r="K367">
        <v>1</v>
      </c>
      <c r="L367">
        <v>1</v>
      </c>
      <c r="M367">
        <v>32</v>
      </c>
      <c r="N367">
        <v>32</v>
      </c>
      <c r="O367">
        <v>12</v>
      </c>
      <c r="P367">
        <v>14</v>
      </c>
      <c r="Q367">
        <v>28</v>
      </c>
      <c r="R367">
        <v>48</v>
      </c>
      <c r="S367">
        <v>18</v>
      </c>
      <c r="T367">
        <v>34</v>
      </c>
      <c r="U367">
        <f t="shared" ref="U367" si="1164">U366</f>
        <v>10</v>
      </c>
      <c r="V367">
        <v>17</v>
      </c>
      <c r="W367">
        <f t="shared" ref="W367" si="1165">W366</f>
        <v>1</v>
      </c>
      <c r="X367">
        <v>12</v>
      </c>
      <c r="Y367">
        <f t="shared" ref="Y367" si="1166">Y366</f>
        <v>0</v>
      </c>
      <c r="Z367">
        <v>15</v>
      </c>
      <c r="AA367">
        <v>20</v>
      </c>
      <c r="AB367">
        <v>50</v>
      </c>
      <c r="AC367">
        <v>80</v>
      </c>
      <c r="AD367">
        <v>50</v>
      </c>
      <c r="AE367">
        <v>49</v>
      </c>
      <c r="AF367">
        <v>59</v>
      </c>
      <c r="AG367">
        <v>90</v>
      </c>
      <c r="AH367">
        <v>67</v>
      </c>
      <c r="AI367">
        <v>42</v>
      </c>
      <c r="AJ367">
        <v>28</v>
      </c>
      <c r="AK367">
        <v>44</v>
      </c>
      <c r="AL367">
        <v>27</v>
      </c>
      <c r="AM367">
        <v>-1</v>
      </c>
      <c r="AN367">
        <v>0</v>
      </c>
      <c r="AO367">
        <v>0</v>
      </c>
      <c r="AP367">
        <v>0</v>
      </c>
      <c r="AQ367">
        <v>0</v>
      </c>
      <c r="AR367">
        <f t="shared" si="1008"/>
        <v>0</v>
      </c>
      <c r="AS367">
        <f>IF(AND(IFERROR(VLOOKUP(AJ367,Equip!$A:$N,13,FALSE),0)&gt;=5,IFERROR(VLOOKUP(AJ367,Equip!$A:$N,13,FALSE),0)&lt;=9),INT(VLOOKUP(AJ367,Equip!$A:$N,6,FALSE)*SQRT(AN367)),0)</f>
        <v>0</v>
      </c>
      <c r="AT367">
        <f>IF(AND(IFERROR(VLOOKUP(AK367,Equip!$A:$N,13,FALSE),0)&gt;=5,IFERROR(VLOOKUP(AK367,Equip!$A:$N,13,FALSE),0)&lt;=9),INT(VLOOKUP(AK367,Equip!$A:$N,6,FALSE)*SQRT(AO367)),0)</f>
        <v>0</v>
      </c>
      <c r="AU367">
        <f>IF(AND(IFERROR(VLOOKUP(AL367,Equip!$A:$N,13,FALSE),0)&gt;=5,IFERROR(VLOOKUP(AL367,Equip!$A:$N,13,FALSE),0)&lt;=9),INT(VLOOKUP(AL367,Equip!$A:$N,6,FALSE)*SQRT(AP367)),0)</f>
        <v>0</v>
      </c>
      <c r="AV367">
        <f>IF(AND(IFERROR(VLOOKUP(AM367,Equip!$A:$N,13,FALSE),0)&gt;=5,IFERROR(VLOOKUP(AM367,Equip!$A:$N,13,FALSE),0)&lt;=9),INT(VLOOKUP(AM367,Equip!$A:$N,6,FALSE)*SQRT(AQ367)),0)</f>
        <v>0</v>
      </c>
      <c r="AW367">
        <f t="shared" si="1009"/>
        <v>0</v>
      </c>
      <c r="AX367">
        <f t="shared" si="1010"/>
        <v>460</v>
      </c>
    </row>
    <row r="368" spans="1:50">
      <c r="A368">
        <v>210</v>
      </c>
      <c r="B368" t="s">
        <v>884</v>
      </c>
      <c r="C368" t="s">
        <v>884</v>
      </c>
      <c r="D368">
        <v>0</v>
      </c>
      <c r="E368">
        <v>1320</v>
      </c>
      <c r="F368">
        <v>760</v>
      </c>
      <c r="G368">
        <v>210</v>
      </c>
      <c r="H368">
        <v>0</v>
      </c>
      <c r="I368">
        <v>1</v>
      </c>
      <c r="J368">
        <v>0</v>
      </c>
      <c r="K368">
        <v>1</v>
      </c>
      <c r="L368">
        <v>1</v>
      </c>
      <c r="M368">
        <v>16</v>
      </c>
      <c r="N368">
        <v>16</v>
      </c>
      <c r="O368">
        <v>10</v>
      </c>
      <c r="P368">
        <v>6</v>
      </c>
      <c r="Q368">
        <v>24</v>
      </c>
      <c r="R368">
        <v>47</v>
      </c>
      <c r="S368">
        <v>9</v>
      </c>
      <c r="T368">
        <v>27</v>
      </c>
      <c r="U368">
        <v>10</v>
      </c>
      <c r="V368">
        <v>6</v>
      </c>
      <c r="W368">
        <v>1</v>
      </c>
      <c r="X368">
        <v>12</v>
      </c>
      <c r="Y368">
        <v>0</v>
      </c>
      <c r="Z368">
        <v>15</v>
      </c>
      <c r="AA368">
        <v>20</v>
      </c>
      <c r="AB368">
        <v>30</v>
      </c>
      <c r="AC368">
        <v>69</v>
      </c>
      <c r="AD368">
        <v>39</v>
      </c>
      <c r="AE368">
        <v>19</v>
      </c>
      <c r="AF368">
        <v>49</v>
      </c>
      <c r="AG368">
        <v>80</v>
      </c>
      <c r="AH368">
        <v>52</v>
      </c>
      <c r="AI368">
        <v>19</v>
      </c>
      <c r="AJ368">
        <v>2</v>
      </c>
      <c r="AK368">
        <v>39</v>
      </c>
      <c r="AL368">
        <v>-1</v>
      </c>
      <c r="AM368">
        <v>-1</v>
      </c>
      <c r="AN368">
        <v>0</v>
      </c>
      <c r="AO368">
        <v>0</v>
      </c>
      <c r="AP368">
        <v>0</v>
      </c>
      <c r="AQ368">
        <v>0</v>
      </c>
      <c r="AR368">
        <f t="shared" si="1008"/>
        <v>0</v>
      </c>
      <c r="AS368">
        <f>IF(AND(IFERROR(VLOOKUP(AJ368,Equip!$A:$N,13,FALSE),0)&gt;=5,IFERROR(VLOOKUP(AJ368,Equip!$A:$N,13,FALSE),0)&lt;=9),INT(VLOOKUP(AJ368,Equip!$A:$N,6,FALSE)*SQRT(AN368)),0)</f>
        <v>0</v>
      </c>
      <c r="AT368">
        <f>IF(AND(IFERROR(VLOOKUP(AK368,Equip!$A:$N,13,FALSE),0)&gt;=5,IFERROR(VLOOKUP(AK368,Equip!$A:$N,13,FALSE),0)&lt;=9),INT(VLOOKUP(AK368,Equip!$A:$N,6,FALSE)*SQRT(AO368)),0)</f>
        <v>0</v>
      </c>
      <c r="AU368">
        <f>IF(AND(IFERROR(VLOOKUP(AL368,Equip!$A:$N,13,FALSE),0)&gt;=5,IFERROR(VLOOKUP(AL368,Equip!$A:$N,13,FALSE),0)&lt;=9),INT(VLOOKUP(AL368,Equip!$A:$N,6,FALSE)*SQRT(AP368)),0)</f>
        <v>0</v>
      </c>
      <c r="AV368">
        <f>IF(AND(IFERROR(VLOOKUP(AM368,Equip!$A:$N,13,FALSE),0)&gt;=5,IFERROR(VLOOKUP(AM368,Equip!$A:$N,13,FALSE),0)&lt;=9),INT(VLOOKUP(AM368,Equip!$A:$N,6,FALSE)*SQRT(AQ368)),0)</f>
        <v>0</v>
      </c>
      <c r="AW368">
        <f t="shared" si="1009"/>
        <v>0</v>
      </c>
      <c r="AX368">
        <f t="shared" si="1010"/>
        <v>324</v>
      </c>
    </row>
    <row r="369" spans="1:50">
      <c r="A369">
        <v>210</v>
      </c>
      <c r="B369" t="s">
        <v>884</v>
      </c>
      <c r="C369" t="s">
        <v>884</v>
      </c>
      <c r="D369">
        <v>1</v>
      </c>
      <c r="E369">
        <f>E368</f>
        <v>1320</v>
      </c>
      <c r="F369">
        <f t="shared" ref="F369" si="1167">F368</f>
        <v>760</v>
      </c>
      <c r="G369">
        <f t="shared" ref="G369" si="1168">G368</f>
        <v>210</v>
      </c>
      <c r="H369">
        <f t="shared" ref="H369" si="1169">H368</f>
        <v>0</v>
      </c>
      <c r="I369">
        <f t="shared" ref="I369" si="1170">I368</f>
        <v>1</v>
      </c>
      <c r="J369">
        <f t="shared" ref="J369" si="1171">J368</f>
        <v>0</v>
      </c>
      <c r="K369">
        <v>1</v>
      </c>
      <c r="L369">
        <v>1</v>
      </c>
      <c r="M369">
        <v>32</v>
      </c>
      <c r="N369">
        <v>32</v>
      </c>
      <c r="O369">
        <v>12</v>
      </c>
      <c r="P369">
        <v>14</v>
      </c>
      <c r="Q369">
        <v>28</v>
      </c>
      <c r="R369">
        <v>48</v>
      </c>
      <c r="S369">
        <v>18</v>
      </c>
      <c r="T369">
        <v>34</v>
      </c>
      <c r="U369">
        <f t="shared" ref="U369" si="1172">U368</f>
        <v>10</v>
      </c>
      <c r="V369">
        <v>9</v>
      </c>
      <c r="W369">
        <f t="shared" ref="W369" si="1173">W368</f>
        <v>1</v>
      </c>
      <c r="X369">
        <v>13</v>
      </c>
      <c r="Y369">
        <f t="shared" ref="Y369" si="1174">Y368</f>
        <v>0</v>
      </c>
      <c r="Z369">
        <v>15</v>
      </c>
      <c r="AA369">
        <v>20</v>
      </c>
      <c r="AB369">
        <v>50</v>
      </c>
      <c r="AC369">
        <v>80</v>
      </c>
      <c r="AD369">
        <v>50</v>
      </c>
      <c r="AE369">
        <v>49</v>
      </c>
      <c r="AF369">
        <v>59</v>
      </c>
      <c r="AG369">
        <v>90</v>
      </c>
      <c r="AH369">
        <v>67</v>
      </c>
      <c r="AI369">
        <v>42</v>
      </c>
      <c r="AJ369">
        <v>28</v>
      </c>
      <c r="AK369">
        <v>47</v>
      </c>
      <c r="AL369">
        <v>27</v>
      </c>
      <c r="AM369">
        <v>-1</v>
      </c>
      <c r="AN369">
        <v>0</v>
      </c>
      <c r="AO369">
        <v>0</v>
      </c>
      <c r="AP369">
        <v>0</v>
      </c>
      <c r="AQ369">
        <v>0</v>
      </c>
      <c r="AR369">
        <f t="shared" si="1008"/>
        <v>0</v>
      </c>
      <c r="AS369">
        <f>IF(AND(IFERROR(VLOOKUP(AJ369,Equip!$A:$N,13,FALSE),0)&gt;=5,IFERROR(VLOOKUP(AJ369,Equip!$A:$N,13,FALSE),0)&lt;=9),INT(VLOOKUP(AJ369,Equip!$A:$N,6,FALSE)*SQRT(AN369)),0)</f>
        <v>0</v>
      </c>
      <c r="AT369">
        <f>IF(AND(IFERROR(VLOOKUP(AK369,Equip!$A:$N,13,FALSE),0)&gt;=5,IFERROR(VLOOKUP(AK369,Equip!$A:$N,13,FALSE),0)&lt;=9),INT(VLOOKUP(AK369,Equip!$A:$N,6,FALSE)*SQRT(AO369)),0)</f>
        <v>0</v>
      </c>
      <c r="AU369">
        <f>IF(AND(IFERROR(VLOOKUP(AL369,Equip!$A:$N,13,FALSE),0)&gt;=5,IFERROR(VLOOKUP(AL369,Equip!$A:$N,13,FALSE),0)&lt;=9),INT(VLOOKUP(AL369,Equip!$A:$N,6,FALSE)*SQRT(AP369)),0)</f>
        <v>0</v>
      </c>
      <c r="AV369">
        <f>IF(AND(IFERROR(VLOOKUP(AM369,Equip!$A:$N,13,FALSE),0)&gt;=5,IFERROR(VLOOKUP(AM369,Equip!$A:$N,13,FALSE),0)&lt;=9),INT(VLOOKUP(AM369,Equip!$A:$N,6,FALSE)*SQRT(AQ369)),0)</f>
        <v>0</v>
      </c>
      <c r="AW369">
        <f t="shared" si="1009"/>
        <v>0</v>
      </c>
      <c r="AX369">
        <f t="shared" si="1010"/>
        <v>460</v>
      </c>
    </row>
    <row r="370" spans="1:50">
      <c r="A370">
        <v>213</v>
      </c>
      <c r="B370" t="s">
        <v>885</v>
      </c>
      <c r="C370" t="s">
        <v>885</v>
      </c>
      <c r="D370">
        <v>0</v>
      </c>
      <c r="E370">
        <v>1320</v>
      </c>
      <c r="F370">
        <v>760</v>
      </c>
      <c r="G370">
        <v>213</v>
      </c>
      <c r="H370">
        <v>1</v>
      </c>
      <c r="I370">
        <v>1</v>
      </c>
      <c r="J370">
        <v>4</v>
      </c>
      <c r="K370">
        <v>1</v>
      </c>
      <c r="L370">
        <v>1</v>
      </c>
      <c r="M370">
        <v>16</v>
      </c>
      <c r="N370">
        <v>16</v>
      </c>
      <c r="O370">
        <v>10</v>
      </c>
      <c r="P370">
        <v>6</v>
      </c>
      <c r="Q370">
        <v>24</v>
      </c>
      <c r="R370">
        <v>43</v>
      </c>
      <c r="S370">
        <v>9</v>
      </c>
      <c r="T370">
        <v>21</v>
      </c>
      <c r="U370">
        <v>10</v>
      </c>
      <c r="V370">
        <v>5</v>
      </c>
      <c r="W370">
        <v>1</v>
      </c>
      <c r="X370">
        <v>8</v>
      </c>
      <c r="Y370">
        <v>0</v>
      </c>
      <c r="Z370">
        <v>15</v>
      </c>
      <c r="AA370">
        <v>20</v>
      </c>
      <c r="AB370">
        <v>29</v>
      </c>
      <c r="AC370">
        <v>69</v>
      </c>
      <c r="AD370">
        <v>39</v>
      </c>
      <c r="AE370">
        <v>19</v>
      </c>
      <c r="AF370">
        <v>49</v>
      </c>
      <c r="AG370">
        <v>79</v>
      </c>
      <c r="AH370">
        <v>49</v>
      </c>
      <c r="AI370">
        <v>19</v>
      </c>
      <c r="AJ370">
        <v>2</v>
      </c>
      <c r="AK370">
        <v>14</v>
      </c>
      <c r="AL370">
        <v>-1</v>
      </c>
      <c r="AM370">
        <v>-1</v>
      </c>
      <c r="AN370">
        <v>0</v>
      </c>
      <c r="AO370">
        <v>0</v>
      </c>
      <c r="AP370">
        <v>0</v>
      </c>
      <c r="AQ370">
        <v>0</v>
      </c>
      <c r="AR370">
        <f t="shared" si="1008"/>
        <v>0</v>
      </c>
      <c r="AS370">
        <f>IF(AND(IFERROR(VLOOKUP(AJ370,Equip!$A:$N,13,FALSE),0)&gt;=5,IFERROR(VLOOKUP(AJ370,Equip!$A:$N,13,FALSE),0)&lt;=9),INT(VLOOKUP(AJ370,Equip!$A:$N,6,FALSE)*SQRT(AN370)),0)</f>
        <v>0</v>
      </c>
      <c r="AT370">
        <f>IF(AND(IFERROR(VLOOKUP(AK370,Equip!$A:$N,13,FALSE),0)&gt;=5,IFERROR(VLOOKUP(AK370,Equip!$A:$N,13,FALSE),0)&lt;=9),INT(VLOOKUP(AK370,Equip!$A:$N,6,FALSE)*SQRT(AO370)),0)</f>
        <v>0</v>
      </c>
      <c r="AU370">
        <f>IF(AND(IFERROR(VLOOKUP(AL370,Equip!$A:$N,13,FALSE),0)&gt;=5,IFERROR(VLOOKUP(AL370,Equip!$A:$N,13,FALSE),0)&lt;=9),INT(VLOOKUP(AL370,Equip!$A:$N,6,FALSE)*SQRT(AP370)),0)</f>
        <v>0</v>
      </c>
      <c r="AV370">
        <f>IF(AND(IFERROR(VLOOKUP(AM370,Equip!$A:$N,13,FALSE),0)&gt;=5,IFERROR(VLOOKUP(AM370,Equip!$A:$N,13,FALSE),0)&lt;=9),INT(VLOOKUP(AM370,Equip!$A:$N,6,FALSE)*SQRT(AQ370)),0)</f>
        <v>0</v>
      </c>
      <c r="AW370">
        <f t="shared" si="1009"/>
        <v>0</v>
      </c>
      <c r="AX370">
        <f t="shared" si="1010"/>
        <v>319</v>
      </c>
    </row>
    <row r="371" spans="1:50">
      <c r="A371">
        <v>213</v>
      </c>
      <c r="B371" t="s">
        <v>885</v>
      </c>
      <c r="C371" t="s">
        <v>885</v>
      </c>
      <c r="D371">
        <v>1</v>
      </c>
      <c r="E371">
        <f>E370</f>
        <v>1320</v>
      </c>
      <c r="F371">
        <f t="shared" ref="F371" si="1175">F370</f>
        <v>760</v>
      </c>
      <c r="G371">
        <f t="shared" ref="G371" si="1176">G370</f>
        <v>213</v>
      </c>
      <c r="H371">
        <f t="shared" ref="H371" si="1177">H370</f>
        <v>1</v>
      </c>
      <c r="I371">
        <f t="shared" ref="I371" si="1178">I370</f>
        <v>1</v>
      </c>
      <c r="J371">
        <f t="shared" ref="J371" si="1179">J370</f>
        <v>4</v>
      </c>
      <c r="K371">
        <v>1</v>
      </c>
      <c r="L371">
        <v>1</v>
      </c>
      <c r="M371">
        <v>31</v>
      </c>
      <c r="N371">
        <v>31</v>
      </c>
      <c r="O371">
        <v>12</v>
      </c>
      <c r="P371">
        <v>14</v>
      </c>
      <c r="Q371">
        <v>28</v>
      </c>
      <c r="R371">
        <v>61</v>
      </c>
      <c r="S371">
        <v>26</v>
      </c>
      <c r="T371">
        <v>36</v>
      </c>
      <c r="U371">
        <f t="shared" ref="U371" si="1180">U370</f>
        <v>10</v>
      </c>
      <c r="V371">
        <v>18</v>
      </c>
      <c r="W371">
        <f t="shared" ref="W371" si="1181">W370</f>
        <v>1</v>
      </c>
      <c r="X371">
        <v>12</v>
      </c>
      <c r="Y371">
        <f t="shared" ref="Y371" si="1182">Y370</f>
        <v>0</v>
      </c>
      <c r="Z371">
        <v>15</v>
      </c>
      <c r="AA371">
        <v>20</v>
      </c>
      <c r="AB371">
        <v>49</v>
      </c>
      <c r="AC371">
        <v>79</v>
      </c>
      <c r="AD371">
        <v>49</v>
      </c>
      <c r="AE371">
        <v>49</v>
      </c>
      <c r="AF371">
        <v>59</v>
      </c>
      <c r="AG371">
        <v>89</v>
      </c>
      <c r="AH371">
        <v>59</v>
      </c>
      <c r="AI371">
        <v>39</v>
      </c>
      <c r="AJ371">
        <v>91</v>
      </c>
      <c r="AK371">
        <v>44</v>
      </c>
      <c r="AL371">
        <v>0</v>
      </c>
      <c r="AM371">
        <v>-1</v>
      </c>
      <c r="AN371">
        <v>0</v>
      </c>
      <c r="AO371">
        <v>0</v>
      </c>
      <c r="AP371">
        <v>0</v>
      </c>
      <c r="AQ371">
        <v>0</v>
      </c>
      <c r="AR371">
        <f t="shared" si="1008"/>
        <v>0</v>
      </c>
      <c r="AS371">
        <f>IF(AND(IFERROR(VLOOKUP(AJ371,Equip!$A:$N,13,FALSE),0)&gt;=5,IFERROR(VLOOKUP(AJ371,Equip!$A:$N,13,FALSE),0)&lt;=9),INT(VLOOKUP(AJ371,Equip!$A:$N,6,FALSE)*SQRT(AN371)),0)</f>
        <v>0</v>
      </c>
      <c r="AT371">
        <f>IF(AND(IFERROR(VLOOKUP(AK371,Equip!$A:$N,13,FALSE),0)&gt;=5,IFERROR(VLOOKUP(AK371,Equip!$A:$N,13,FALSE),0)&lt;=9),INT(VLOOKUP(AK371,Equip!$A:$N,6,FALSE)*SQRT(AO371)),0)</f>
        <v>0</v>
      </c>
      <c r="AU371">
        <f>IF(AND(IFERROR(VLOOKUP(AL371,Equip!$A:$N,13,FALSE),0)&gt;=5,IFERROR(VLOOKUP(AL371,Equip!$A:$N,13,FALSE),0)&lt;=9),INT(VLOOKUP(AL371,Equip!$A:$N,6,FALSE)*SQRT(AP371)),0)</f>
        <v>0</v>
      </c>
      <c r="AV371">
        <f>IF(AND(IFERROR(VLOOKUP(AM371,Equip!$A:$N,13,FALSE),0)&gt;=5,IFERROR(VLOOKUP(AM371,Equip!$A:$N,13,FALSE),0)&lt;=9),INT(VLOOKUP(AM371,Equip!$A:$N,6,FALSE)*SQRT(AQ371)),0)</f>
        <v>0</v>
      </c>
      <c r="AW371">
        <f t="shared" si="1009"/>
        <v>0</v>
      </c>
      <c r="AX371">
        <f t="shared" si="1010"/>
        <v>444</v>
      </c>
    </row>
    <row r="372" spans="1:50">
      <c r="A372">
        <v>214</v>
      </c>
      <c r="B372" t="s">
        <v>886</v>
      </c>
      <c r="C372" t="s">
        <v>886</v>
      </c>
      <c r="D372">
        <v>0</v>
      </c>
      <c r="E372">
        <v>1320</v>
      </c>
      <c r="F372">
        <v>760</v>
      </c>
      <c r="G372">
        <v>214</v>
      </c>
      <c r="H372">
        <v>1</v>
      </c>
      <c r="I372">
        <v>1</v>
      </c>
      <c r="J372">
        <v>10</v>
      </c>
      <c r="K372">
        <v>1</v>
      </c>
      <c r="L372">
        <v>1</v>
      </c>
      <c r="M372">
        <v>16</v>
      </c>
      <c r="N372">
        <v>16</v>
      </c>
      <c r="O372">
        <v>10</v>
      </c>
      <c r="P372">
        <v>6</v>
      </c>
      <c r="Q372">
        <v>24</v>
      </c>
      <c r="R372">
        <v>43</v>
      </c>
      <c r="S372">
        <v>9</v>
      </c>
      <c r="T372">
        <v>23</v>
      </c>
      <c r="U372">
        <v>10</v>
      </c>
      <c r="V372">
        <v>5</v>
      </c>
      <c r="W372">
        <v>1</v>
      </c>
      <c r="X372">
        <v>7</v>
      </c>
      <c r="Y372">
        <v>0</v>
      </c>
      <c r="Z372">
        <v>15</v>
      </c>
      <c r="AA372">
        <v>20</v>
      </c>
      <c r="AB372">
        <v>29</v>
      </c>
      <c r="AC372">
        <v>69</v>
      </c>
      <c r="AD372">
        <v>39</v>
      </c>
      <c r="AE372">
        <v>19</v>
      </c>
      <c r="AF372">
        <v>49</v>
      </c>
      <c r="AG372">
        <v>79</v>
      </c>
      <c r="AH372">
        <v>50</v>
      </c>
      <c r="AI372">
        <v>19</v>
      </c>
      <c r="AJ372">
        <v>2</v>
      </c>
      <c r="AK372">
        <v>14</v>
      </c>
      <c r="AL372">
        <v>-1</v>
      </c>
      <c r="AM372">
        <v>-1</v>
      </c>
      <c r="AN372">
        <v>0</v>
      </c>
      <c r="AO372">
        <v>0</v>
      </c>
      <c r="AP372">
        <v>0</v>
      </c>
      <c r="AQ372">
        <v>0</v>
      </c>
      <c r="AR372">
        <f t="shared" si="1008"/>
        <v>0</v>
      </c>
      <c r="AS372">
        <f>IF(AND(IFERROR(VLOOKUP(AJ372,Equip!$A:$N,13,FALSE),0)&gt;=5,IFERROR(VLOOKUP(AJ372,Equip!$A:$N,13,FALSE),0)&lt;=9),INT(VLOOKUP(AJ372,Equip!$A:$N,6,FALSE)*SQRT(AN372)),0)</f>
        <v>0</v>
      </c>
      <c r="AT372">
        <f>IF(AND(IFERROR(VLOOKUP(AK372,Equip!$A:$N,13,FALSE),0)&gt;=5,IFERROR(VLOOKUP(AK372,Equip!$A:$N,13,FALSE),0)&lt;=9),INT(VLOOKUP(AK372,Equip!$A:$N,6,FALSE)*SQRT(AO372)),0)</f>
        <v>0</v>
      </c>
      <c r="AU372">
        <f>IF(AND(IFERROR(VLOOKUP(AL372,Equip!$A:$N,13,FALSE),0)&gt;=5,IFERROR(VLOOKUP(AL372,Equip!$A:$N,13,FALSE),0)&lt;=9),INT(VLOOKUP(AL372,Equip!$A:$N,6,FALSE)*SQRT(AP372)),0)</f>
        <v>0</v>
      </c>
      <c r="AV372">
        <f>IF(AND(IFERROR(VLOOKUP(AM372,Equip!$A:$N,13,FALSE),0)&gt;=5,IFERROR(VLOOKUP(AM372,Equip!$A:$N,13,FALSE),0)&lt;=9),INT(VLOOKUP(AM372,Equip!$A:$N,6,FALSE)*SQRT(AQ372)),0)</f>
        <v>0</v>
      </c>
      <c r="AW372">
        <f t="shared" si="1009"/>
        <v>0</v>
      </c>
      <c r="AX372">
        <f t="shared" si="1010"/>
        <v>320</v>
      </c>
    </row>
    <row r="373" spans="1:50">
      <c r="A373">
        <v>214</v>
      </c>
      <c r="B373" t="s">
        <v>886</v>
      </c>
      <c r="C373" t="s">
        <v>886</v>
      </c>
      <c r="D373">
        <v>1</v>
      </c>
      <c r="E373">
        <f>E372</f>
        <v>1320</v>
      </c>
      <c r="F373">
        <f t="shared" ref="F373" si="1183">F372</f>
        <v>760</v>
      </c>
      <c r="G373">
        <f t="shared" ref="G373" si="1184">G372</f>
        <v>214</v>
      </c>
      <c r="H373">
        <f t="shared" ref="H373" si="1185">H372</f>
        <v>1</v>
      </c>
      <c r="I373">
        <f t="shared" ref="I373" si="1186">I372</f>
        <v>1</v>
      </c>
      <c r="J373">
        <f t="shared" ref="J373" si="1187">J372</f>
        <v>10</v>
      </c>
      <c r="K373">
        <v>1</v>
      </c>
      <c r="L373">
        <v>1</v>
      </c>
      <c r="M373">
        <v>31</v>
      </c>
      <c r="N373">
        <v>31</v>
      </c>
      <c r="O373">
        <v>23</v>
      </c>
      <c r="P373">
        <v>24</v>
      </c>
      <c r="Q373">
        <v>43</v>
      </c>
      <c r="R373">
        <v>61</v>
      </c>
      <c r="S373">
        <v>21</v>
      </c>
      <c r="T373">
        <v>40</v>
      </c>
      <c r="U373">
        <f t="shared" ref="U373" si="1188">U372</f>
        <v>10</v>
      </c>
      <c r="V373">
        <v>18</v>
      </c>
      <c r="W373">
        <f t="shared" ref="W373" si="1189">W372</f>
        <v>1</v>
      </c>
      <c r="X373">
        <v>11</v>
      </c>
      <c r="Y373">
        <f t="shared" ref="Y373" si="1190">Y372</f>
        <v>0</v>
      </c>
      <c r="Z373">
        <v>15</v>
      </c>
      <c r="AA373">
        <v>20</v>
      </c>
      <c r="AB373">
        <v>49</v>
      </c>
      <c r="AC373">
        <v>79</v>
      </c>
      <c r="AD373">
        <v>49</v>
      </c>
      <c r="AE373">
        <v>48</v>
      </c>
      <c r="AF373">
        <v>58</v>
      </c>
      <c r="AG373">
        <v>89</v>
      </c>
      <c r="AH373">
        <v>63</v>
      </c>
      <c r="AI373">
        <v>39</v>
      </c>
      <c r="AJ373">
        <v>91</v>
      </c>
      <c r="AK373">
        <v>44</v>
      </c>
      <c r="AL373">
        <v>0</v>
      </c>
      <c r="AM373">
        <v>-1</v>
      </c>
      <c r="AN373">
        <v>0</v>
      </c>
      <c r="AO373">
        <v>0</v>
      </c>
      <c r="AP373">
        <v>0</v>
      </c>
      <c r="AQ373">
        <v>0</v>
      </c>
      <c r="AR373">
        <f t="shared" si="1008"/>
        <v>0</v>
      </c>
      <c r="AS373">
        <f>IF(AND(IFERROR(VLOOKUP(AJ373,Equip!$A:$N,13,FALSE),0)&gt;=5,IFERROR(VLOOKUP(AJ373,Equip!$A:$N,13,FALSE),0)&lt;=9),INT(VLOOKUP(AJ373,Equip!$A:$N,6,FALSE)*SQRT(AN373)),0)</f>
        <v>0</v>
      </c>
      <c r="AT373">
        <f>IF(AND(IFERROR(VLOOKUP(AK373,Equip!$A:$N,13,FALSE),0)&gt;=5,IFERROR(VLOOKUP(AK373,Equip!$A:$N,13,FALSE),0)&lt;=9),INT(VLOOKUP(AK373,Equip!$A:$N,6,FALSE)*SQRT(AO373)),0)</f>
        <v>0</v>
      </c>
      <c r="AU373">
        <f>IF(AND(IFERROR(VLOOKUP(AL373,Equip!$A:$N,13,FALSE),0)&gt;=5,IFERROR(VLOOKUP(AL373,Equip!$A:$N,13,FALSE),0)&lt;=9),INT(VLOOKUP(AL373,Equip!$A:$N,6,FALSE)*SQRT(AP373)),0)</f>
        <v>0</v>
      </c>
      <c r="AV373">
        <f>IF(AND(IFERROR(VLOOKUP(AM373,Equip!$A:$N,13,FALSE),0)&gt;=5,IFERROR(VLOOKUP(AM373,Equip!$A:$N,13,FALSE),0)&lt;=9),INT(VLOOKUP(AM373,Equip!$A:$N,6,FALSE)*SQRT(AQ373)),0)</f>
        <v>0</v>
      </c>
      <c r="AW373">
        <f t="shared" si="1009"/>
        <v>0</v>
      </c>
      <c r="AX373">
        <f t="shared" si="1010"/>
        <v>447</v>
      </c>
    </row>
    <row r="374" spans="1:50">
      <c r="A374">
        <v>215</v>
      </c>
      <c r="B374" t="s">
        <v>887</v>
      </c>
      <c r="C374" t="s">
        <v>887</v>
      </c>
      <c r="D374">
        <v>0</v>
      </c>
      <c r="E374">
        <v>1320</v>
      </c>
      <c r="F374">
        <v>760</v>
      </c>
      <c r="G374">
        <v>215</v>
      </c>
      <c r="H374">
        <v>1</v>
      </c>
      <c r="I374">
        <v>1</v>
      </c>
      <c r="J374">
        <v>5</v>
      </c>
      <c r="K374">
        <v>1</v>
      </c>
      <c r="L374">
        <v>1</v>
      </c>
      <c r="M374">
        <v>16</v>
      </c>
      <c r="N374">
        <v>16</v>
      </c>
      <c r="O374">
        <v>10</v>
      </c>
      <c r="P374">
        <v>6</v>
      </c>
      <c r="Q374">
        <v>24</v>
      </c>
      <c r="R374">
        <v>44</v>
      </c>
      <c r="S374">
        <v>12</v>
      </c>
      <c r="T374">
        <v>24</v>
      </c>
      <c r="U374">
        <v>10</v>
      </c>
      <c r="V374">
        <v>8</v>
      </c>
      <c r="W374">
        <v>1</v>
      </c>
      <c r="X374">
        <v>14</v>
      </c>
      <c r="Y374">
        <v>0</v>
      </c>
      <c r="Z374">
        <v>15</v>
      </c>
      <c r="AA374">
        <v>20</v>
      </c>
      <c r="AB374">
        <v>29</v>
      </c>
      <c r="AC374">
        <v>69</v>
      </c>
      <c r="AD374">
        <v>44</v>
      </c>
      <c r="AE374">
        <v>19</v>
      </c>
      <c r="AF374">
        <v>49</v>
      </c>
      <c r="AG374">
        <v>79</v>
      </c>
      <c r="AH374">
        <v>49</v>
      </c>
      <c r="AI374">
        <v>19</v>
      </c>
      <c r="AJ374">
        <v>2</v>
      </c>
      <c r="AK374">
        <v>14</v>
      </c>
      <c r="AL374">
        <v>-1</v>
      </c>
      <c r="AM374">
        <v>-1</v>
      </c>
      <c r="AN374">
        <v>0</v>
      </c>
      <c r="AO374">
        <v>0</v>
      </c>
      <c r="AP374">
        <v>0</v>
      </c>
      <c r="AQ374">
        <v>0</v>
      </c>
      <c r="AR374">
        <f t="shared" si="1008"/>
        <v>0</v>
      </c>
      <c r="AS374">
        <f>IF(AND(IFERROR(VLOOKUP(AJ374,Equip!$A:$N,13,FALSE),0)&gt;=5,IFERROR(VLOOKUP(AJ374,Equip!$A:$N,13,FALSE),0)&lt;=9),INT(VLOOKUP(AJ374,Equip!$A:$N,6,FALSE)*SQRT(AN374)),0)</f>
        <v>0</v>
      </c>
      <c r="AT374">
        <f>IF(AND(IFERROR(VLOOKUP(AK374,Equip!$A:$N,13,FALSE),0)&gt;=5,IFERROR(VLOOKUP(AK374,Equip!$A:$N,13,FALSE),0)&lt;=9),INT(VLOOKUP(AK374,Equip!$A:$N,6,FALSE)*SQRT(AO374)),0)</f>
        <v>0</v>
      </c>
      <c r="AU374">
        <f>IF(AND(IFERROR(VLOOKUP(AL374,Equip!$A:$N,13,FALSE),0)&gt;=5,IFERROR(VLOOKUP(AL374,Equip!$A:$N,13,FALSE),0)&lt;=9),INT(VLOOKUP(AL374,Equip!$A:$N,6,FALSE)*SQRT(AP374)),0)</f>
        <v>0</v>
      </c>
      <c r="AV374">
        <f>IF(AND(IFERROR(VLOOKUP(AM374,Equip!$A:$N,13,FALSE),0)&gt;=5,IFERROR(VLOOKUP(AM374,Equip!$A:$N,13,FALSE),0)&lt;=9),INT(VLOOKUP(AM374,Equip!$A:$N,6,FALSE)*SQRT(AQ374)),0)</f>
        <v>0</v>
      </c>
      <c r="AW374">
        <f t="shared" si="1009"/>
        <v>0</v>
      </c>
      <c r="AX374">
        <f t="shared" si="1010"/>
        <v>324</v>
      </c>
    </row>
    <row r="375" spans="1:50">
      <c r="A375">
        <v>215</v>
      </c>
      <c r="B375" t="s">
        <v>887</v>
      </c>
      <c r="C375" t="s">
        <v>887</v>
      </c>
      <c r="D375">
        <v>1</v>
      </c>
      <c r="E375">
        <f>E374</f>
        <v>1320</v>
      </c>
      <c r="F375">
        <f t="shared" ref="F375" si="1191">F374</f>
        <v>760</v>
      </c>
      <c r="G375">
        <f t="shared" ref="G375" si="1192">G374</f>
        <v>215</v>
      </c>
      <c r="H375">
        <f t="shared" ref="H375" si="1193">H374</f>
        <v>1</v>
      </c>
      <c r="I375">
        <f t="shared" ref="I375" si="1194">I374</f>
        <v>1</v>
      </c>
      <c r="J375">
        <f t="shared" ref="J375" si="1195">J374</f>
        <v>5</v>
      </c>
      <c r="K375">
        <v>1</v>
      </c>
      <c r="L375">
        <v>1</v>
      </c>
      <c r="M375">
        <v>32</v>
      </c>
      <c r="N375">
        <v>32</v>
      </c>
      <c r="O375">
        <v>25</v>
      </c>
      <c r="P375">
        <v>24</v>
      </c>
      <c r="Q375">
        <v>36</v>
      </c>
      <c r="R375">
        <v>61</v>
      </c>
      <c r="S375">
        <v>26</v>
      </c>
      <c r="T375">
        <v>49</v>
      </c>
      <c r="U375">
        <f t="shared" ref="U375" si="1196">U374</f>
        <v>10</v>
      </c>
      <c r="V375">
        <v>18</v>
      </c>
      <c r="W375">
        <f t="shared" ref="W375" si="1197">W374</f>
        <v>1</v>
      </c>
      <c r="X375">
        <v>13</v>
      </c>
      <c r="Y375">
        <f t="shared" ref="Y375" si="1198">Y374</f>
        <v>0</v>
      </c>
      <c r="Z375">
        <v>15</v>
      </c>
      <c r="AA375">
        <v>20</v>
      </c>
      <c r="AB375">
        <v>48</v>
      </c>
      <c r="AC375">
        <v>79</v>
      </c>
      <c r="AD375">
        <v>49</v>
      </c>
      <c r="AE375">
        <v>49</v>
      </c>
      <c r="AF375">
        <v>59</v>
      </c>
      <c r="AG375">
        <v>88</v>
      </c>
      <c r="AH375">
        <v>68</v>
      </c>
      <c r="AI375">
        <v>39</v>
      </c>
      <c r="AJ375">
        <v>91</v>
      </c>
      <c r="AK375">
        <v>46</v>
      </c>
      <c r="AL375">
        <v>0</v>
      </c>
      <c r="AM375">
        <v>-1</v>
      </c>
      <c r="AN375">
        <v>0</v>
      </c>
      <c r="AO375">
        <v>0</v>
      </c>
      <c r="AP375">
        <v>0</v>
      </c>
      <c r="AQ375">
        <v>0</v>
      </c>
      <c r="AR375">
        <f t="shared" si="1008"/>
        <v>0</v>
      </c>
      <c r="AS375">
        <f>IF(AND(IFERROR(VLOOKUP(AJ375,Equip!$A:$N,13,FALSE),0)&gt;=5,IFERROR(VLOOKUP(AJ375,Equip!$A:$N,13,FALSE),0)&lt;=9),INT(VLOOKUP(AJ375,Equip!$A:$N,6,FALSE)*SQRT(AN375)),0)</f>
        <v>0</v>
      </c>
      <c r="AT375">
        <f>IF(AND(IFERROR(VLOOKUP(AK375,Equip!$A:$N,13,FALSE),0)&gt;=5,IFERROR(VLOOKUP(AK375,Equip!$A:$N,13,FALSE),0)&lt;=9),INT(VLOOKUP(AK375,Equip!$A:$N,6,FALSE)*SQRT(AO375)),0)</f>
        <v>0</v>
      </c>
      <c r="AU375">
        <f>IF(AND(IFERROR(VLOOKUP(AL375,Equip!$A:$N,13,FALSE),0)&gt;=5,IFERROR(VLOOKUP(AL375,Equip!$A:$N,13,FALSE),0)&lt;=9),INT(VLOOKUP(AL375,Equip!$A:$N,6,FALSE)*SQRT(AP375)),0)</f>
        <v>0</v>
      </c>
      <c r="AV375">
        <f>IF(AND(IFERROR(VLOOKUP(AM375,Equip!$A:$N,13,FALSE),0)&gt;=5,IFERROR(VLOOKUP(AM375,Equip!$A:$N,13,FALSE),0)&lt;=9),INT(VLOOKUP(AM375,Equip!$A:$N,6,FALSE)*SQRT(AQ375)),0)</f>
        <v>0</v>
      </c>
      <c r="AW375">
        <f t="shared" si="1009"/>
        <v>0</v>
      </c>
      <c r="AX375">
        <f t="shared" si="1010"/>
        <v>452</v>
      </c>
    </row>
    <row r="376" spans="1:50">
      <c r="A376">
        <v>221</v>
      </c>
      <c r="B376" t="s">
        <v>888</v>
      </c>
      <c r="C376" t="s">
        <v>888</v>
      </c>
      <c r="D376">
        <v>0</v>
      </c>
      <c r="E376">
        <v>1452</v>
      </c>
      <c r="F376">
        <v>826</v>
      </c>
      <c r="G376">
        <v>221</v>
      </c>
      <c r="H376">
        <v>1</v>
      </c>
      <c r="I376">
        <v>1</v>
      </c>
      <c r="J376">
        <v>0</v>
      </c>
      <c r="K376">
        <v>1</v>
      </c>
      <c r="L376">
        <v>1</v>
      </c>
      <c r="M376">
        <v>20</v>
      </c>
      <c r="N376">
        <v>20</v>
      </c>
      <c r="O376">
        <v>16</v>
      </c>
      <c r="P376">
        <v>9</v>
      </c>
      <c r="Q376">
        <v>16</v>
      </c>
      <c r="R376">
        <v>47</v>
      </c>
      <c r="S376">
        <v>70</v>
      </c>
      <c r="T376">
        <v>27</v>
      </c>
      <c r="U376">
        <v>10</v>
      </c>
      <c r="V376">
        <v>9</v>
      </c>
      <c r="W376">
        <v>1</v>
      </c>
      <c r="X376">
        <v>10</v>
      </c>
      <c r="Y376">
        <v>0</v>
      </c>
      <c r="Z376">
        <v>20</v>
      </c>
      <c r="AA376">
        <v>25</v>
      </c>
      <c r="AB376">
        <v>48</v>
      </c>
      <c r="AC376">
        <v>48</v>
      </c>
      <c r="AD376">
        <v>104</v>
      </c>
      <c r="AE376">
        <v>27</v>
      </c>
      <c r="AF376">
        <v>59</v>
      </c>
      <c r="AG376">
        <v>84</v>
      </c>
      <c r="AH376">
        <v>63</v>
      </c>
      <c r="AI376">
        <v>29</v>
      </c>
      <c r="AJ376">
        <v>122</v>
      </c>
      <c r="AK376">
        <v>15</v>
      </c>
      <c r="AL376">
        <v>39</v>
      </c>
      <c r="AM376">
        <v>-1</v>
      </c>
      <c r="AN376">
        <v>0</v>
      </c>
      <c r="AO376">
        <v>0</v>
      </c>
      <c r="AP376">
        <v>0</v>
      </c>
      <c r="AQ376">
        <v>0</v>
      </c>
      <c r="AR376">
        <f t="shared" si="1008"/>
        <v>0</v>
      </c>
      <c r="AS376">
        <f>IF(AND(IFERROR(VLOOKUP(AJ376,Equip!$A:$N,13,FALSE),0)&gt;=5,IFERROR(VLOOKUP(AJ376,Equip!$A:$N,13,FALSE),0)&lt;=9),INT(VLOOKUP(AJ376,Equip!$A:$N,6,FALSE)*SQRT(AN376)),0)</f>
        <v>0</v>
      </c>
      <c r="AT376">
        <f>IF(AND(IFERROR(VLOOKUP(AK376,Equip!$A:$N,13,FALSE),0)&gt;=5,IFERROR(VLOOKUP(AK376,Equip!$A:$N,13,FALSE),0)&lt;=9),INT(VLOOKUP(AK376,Equip!$A:$N,6,FALSE)*SQRT(AO376)),0)</f>
        <v>0</v>
      </c>
      <c r="AU376">
        <f>IF(AND(IFERROR(VLOOKUP(AL376,Equip!$A:$N,13,FALSE),0)&gt;=5,IFERROR(VLOOKUP(AL376,Equip!$A:$N,13,FALSE),0)&lt;=9),INT(VLOOKUP(AL376,Equip!$A:$N,6,FALSE)*SQRT(AP376)),0)</f>
        <v>0</v>
      </c>
      <c r="AV376">
        <f>IF(AND(IFERROR(VLOOKUP(AM376,Equip!$A:$N,13,FALSE),0)&gt;=5,IFERROR(VLOOKUP(AM376,Equip!$A:$N,13,FALSE),0)&lt;=9),INT(VLOOKUP(AM376,Equip!$A:$N,6,FALSE)*SQRT(AQ376)),0)</f>
        <v>0</v>
      </c>
      <c r="AW376">
        <f t="shared" si="1009"/>
        <v>0</v>
      </c>
      <c r="AX376">
        <f t="shared" si="1010"/>
        <v>423</v>
      </c>
    </row>
    <row r="377" spans="1:50">
      <c r="A377">
        <v>221</v>
      </c>
      <c r="B377" t="s">
        <v>888</v>
      </c>
      <c r="C377" t="s">
        <v>888</v>
      </c>
      <c r="D377">
        <v>1</v>
      </c>
      <c r="E377">
        <f>E376</f>
        <v>1452</v>
      </c>
      <c r="F377">
        <f t="shared" ref="F377" si="1199">F376</f>
        <v>826</v>
      </c>
      <c r="G377">
        <f t="shared" ref="G377" si="1200">G376</f>
        <v>221</v>
      </c>
      <c r="H377">
        <f t="shared" ref="H377" si="1201">H376</f>
        <v>1</v>
      </c>
      <c r="I377">
        <f t="shared" ref="I377" si="1202">I376</f>
        <v>1</v>
      </c>
      <c r="J377">
        <f t="shared" ref="J377" si="1203">J376</f>
        <v>0</v>
      </c>
      <c r="K377">
        <v>1</v>
      </c>
      <c r="L377">
        <v>1</v>
      </c>
      <c r="M377">
        <v>37</v>
      </c>
      <c r="N377">
        <v>37</v>
      </c>
      <c r="O377">
        <v>33</v>
      </c>
      <c r="P377">
        <v>22</v>
      </c>
      <c r="Q377">
        <v>29</v>
      </c>
      <c r="R377">
        <v>67</v>
      </c>
      <c r="S377">
        <v>86</v>
      </c>
      <c r="T377">
        <v>46</v>
      </c>
      <c r="U377">
        <f t="shared" ref="U377" si="1204">U376</f>
        <v>10</v>
      </c>
      <c r="V377">
        <v>29</v>
      </c>
      <c r="W377">
        <f t="shared" ref="W377" si="1205">W376</f>
        <v>1</v>
      </c>
      <c r="X377">
        <v>12</v>
      </c>
      <c r="Y377">
        <f t="shared" ref="Y377" si="1206">Y376</f>
        <v>0</v>
      </c>
      <c r="Z377">
        <v>20</v>
      </c>
      <c r="AA377">
        <v>25</v>
      </c>
      <c r="AB377">
        <v>57</v>
      </c>
      <c r="AC377">
        <v>54</v>
      </c>
      <c r="AD377">
        <v>116</v>
      </c>
      <c r="AE377">
        <v>53</v>
      </c>
      <c r="AF377">
        <v>69</v>
      </c>
      <c r="AG377">
        <v>88</v>
      </c>
      <c r="AH377">
        <v>72</v>
      </c>
      <c r="AI377">
        <v>49</v>
      </c>
      <c r="AJ377">
        <v>122</v>
      </c>
      <c r="AK377">
        <v>106</v>
      </c>
      <c r="AL377">
        <v>39</v>
      </c>
      <c r="AM377">
        <v>-1</v>
      </c>
      <c r="AN377">
        <v>0</v>
      </c>
      <c r="AO377">
        <v>0</v>
      </c>
      <c r="AP377">
        <v>0</v>
      </c>
      <c r="AQ377">
        <v>0</v>
      </c>
      <c r="AR377">
        <f t="shared" si="1008"/>
        <v>0</v>
      </c>
      <c r="AS377">
        <f>IF(AND(IFERROR(VLOOKUP(AJ377,Equip!$A:$N,13,FALSE),0)&gt;=5,IFERROR(VLOOKUP(AJ377,Equip!$A:$N,13,FALSE),0)&lt;=9),INT(VLOOKUP(AJ377,Equip!$A:$N,6,FALSE)*SQRT(AN377)),0)</f>
        <v>0</v>
      </c>
      <c r="AT377">
        <f>IF(AND(IFERROR(VLOOKUP(AK377,Equip!$A:$N,13,FALSE),0)&gt;=5,IFERROR(VLOOKUP(AK377,Equip!$A:$N,13,FALSE),0)&lt;=9),INT(VLOOKUP(AK377,Equip!$A:$N,6,FALSE)*SQRT(AO377)),0)</f>
        <v>0</v>
      </c>
      <c r="AU377">
        <f>IF(AND(IFERROR(VLOOKUP(AL377,Equip!$A:$N,13,FALSE),0)&gt;=5,IFERROR(VLOOKUP(AL377,Equip!$A:$N,13,FALSE),0)&lt;=9),INT(VLOOKUP(AL377,Equip!$A:$N,6,FALSE)*SQRT(AP377)),0)</f>
        <v>0</v>
      </c>
      <c r="AV377">
        <f>IF(AND(IFERROR(VLOOKUP(AM377,Equip!$A:$N,13,FALSE),0)&gt;=5,IFERROR(VLOOKUP(AM377,Equip!$A:$N,13,FALSE),0)&lt;=9),INT(VLOOKUP(AM377,Equip!$A:$N,6,FALSE)*SQRT(AQ377)),0)</f>
        <v>0</v>
      </c>
      <c r="AW377">
        <f t="shared" si="1009"/>
        <v>0</v>
      </c>
      <c r="AX377">
        <f t="shared" si="1010"/>
        <v>526</v>
      </c>
    </row>
    <row r="378" spans="1:50">
      <c r="A378">
        <v>222</v>
      </c>
      <c r="B378" t="s">
        <v>889</v>
      </c>
      <c r="C378" t="s">
        <v>889</v>
      </c>
      <c r="D378">
        <v>0</v>
      </c>
      <c r="E378">
        <v>1352</v>
      </c>
      <c r="F378">
        <v>876</v>
      </c>
      <c r="G378">
        <v>222</v>
      </c>
      <c r="H378">
        <v>1</v>
      </c>
      <c r="I378">
        <v>1</v>
      </c>
      <c r="J378">
        <v>3</v>
      </c>
      <c r="K378">
        <v>1</v>
      </c>
      <c r="L378">
        <v>1</v>
      </c>
      <c r="M378">
        <v>20</v>
      </c>
      <c r="N378">
        <v>20</v>
      </c>
      <c r="O378">
        <v>16</v>
      </c>
      <c r="P378">
        <v>9</v>
      </c>
      <c r="Q378">
        <v>16</v>
      </c>
      <c r="R378">
        <v>47</v>
      </c>
      <c r="S378">
        <v>70</v>
      </c>
      <c r="T378">
        <v>27</v>
      </c>
      <c r="U378">
        <v>10</v>
      </c>
      <c r="V378">
        <v>9</v>
      </c>
      <c r="W378">
        <v>1</v>
      </c>
      <c r="X378">
        <v>9</v>
      </c>
      <c r="Y378">
        <v>0</v>
      </c>
      <c r="Z378">
        <v>20</v>
      </c>
      <c r="AA378">
        <v>25</v>
      </c>
      <c r="AB378">
        <v>49</v>
      </c>
      <c r="AC378">
        <v>49</v>
      </c>
      <c r="AD378">
        <v>103</v>
      </c>
      <c r="AE378">
        <v>26</v>
      </c>
      <c r="AF378">
        <v>49</v>
      </c>
      <c r="AG378">
        <v>83</v>
      </c>
      <c r="AH378">
        <v>63</v>
      </c>
      <c r="AI378">
        <v>29</v>
      </c>
      <c r="AJ378">
        <v>122</v>
      </c>
      <c r="AK378">
        <v>15</v>
      </c>
      <c r="AL378">
        <v>39</v>
      </c>
      <c r="AM378">
        <v>-1</v>
      </c>
      <c r="AN378">
        <v>0</v>
      </c>
      <c r="AO378">
        <v>0</v>
      </c>
      <c r="AP378">
        <v>0</v>
      </c>
      <c r="AQ378">
        <v>0</v>
      </c>
      <c r="AR378">
        <f t="shared" si="1008"/>
        <v>0</v>
      </c>
      <c r="AS378">
        <f>IF(AND(IFERROR(VLOOKUP(AJ378,Equip!$A:$N,13,FALSE),0)&gt;=5,IFERROR(VLOOKUP(AJ378,Equip!$A:$N,13,FALSE),0)&lt;=9),INT(VLOOKUP(AJ378,Equip!$A:$N,6,FALSE)*SQRT(AN378)),0)</f>
        <v>0</v>
      </c>
      <c r="AT378">
        <f>IF(AND(IFERROR(VLOOKUP(AK378,Equip!$A:$N,13,FALSE),0)&gt;=5,IFERROR(VLOOKUP(AK378,Equip!$A:$N,13,FALSE),0)&lt;=9),INT(VLOOKUP(AK378,Equip!$A:$N,6,FALSE)*SQRT(AO378)),0)</f>
        <v>0</v>
      </c>
      <c r="AU378">
        <f>IF(AND(IFERROR(VLOOKUP(AL378,Equip!$A:$N,13,FALSE),0)&gt;=5,IFERROR(VLOOKUP(AL378,Equip!$A:$N,13,FALSE),0)&lt;=9),INT(VLOOKUP(AL378,Equip!$A:$N,6,FALSE)*SQRT(AP378)),0)</f>
        <v>0</v>
      </c>
      <c r="AV378">
        <f>IF(AND(IFERROR(VLOOKUP(AM378,Equip!$A:$N,13,FALSE),0)&gt;=5,IFERROR(VLOOKUP(AM378,Equip!$A:$N,13,FALSE),0)&lt;=9),INT(VLOOKUP(AM378,Equip!$A:$N,6,FALSE)*SQRT(AQ378)),0)</f>
        <v>0</v>
      </c>
      <c r="AW378">
        <f t="shared" si="1009"/>
        <v>0</v>
      </c>
      <c r="AX378">
        <f t="shared" si="1010"/>
        <v>422</v>
      </c>
    </row>
    <row r="379" spans="1:50">
      <c r="A379">
        <v>222</v>
      </c>
      <c r="B379" t="s">
        <v>889</v>
      </c>
      <c r="C379" t="s">
        <v>889</v>
      </c>
      <c r="D379">
        <v>1</v>
      </c>
      <c r="E379">
        <f>E378</f>
        <v>1352</v>
      </c>
      <c r="F379">
        <f t="shared" ref="F379" si="1207">F378</f>
        <v>876</v>
      </c>
      <c r="G379">
        <f t="shared" ref="G379" si="1208">G378</f>
        <v>222</v>
      </c>
      <c r="H379">
        <f t="shared" ref="H379" si="1209">H378</f>
        <v>1</v>
      </c>
      <c r="I379">
        <f t="shared" ref="I379" si="1210">I378</f>
        <v>1</v>
      </c>
      <c r="J379">
        <f t="shared" ref="J379" si="1211">J378</f>
        <v>3</v>
      </c>
      <c r="K379">
        <v>1</v>
      </c>
      <c r="L379">
        <v>1</v>
      </c>
      <c r="M379">
        <v>37</v>
      </c>
      <c r="N379">
        <v>37</v>
      </c>
      <c r="O379">
        <v>16</v>
      </c>
      <c r="P379">
        <v>9</v>
      </c>
      <c r="Q379">
        <v>16</v>
      </c>
      <c r="R379">
        <v>48</v>
      </c>
      <c r="S379">
        <v>70</v>
      </c>
      <c r="T379">
        <v>30</v>
      </c>
      <c r="U379">
        <f t="shared" ref="U379" si="1212">U378</f>
        <v>10</v>
      </c>
      <c r="V379">
        <v>10</v>
      </c>
      <c r="W379">
        <f t="shared" ref="W379" si="1213">W378</f>
        <v>1</v>
      </c>
      <c r="X379">
        <v>11</v>
      </c>
      <c r="Y379">
        <f t="shared" ref="Y379" si="1214">Y378</f>
        <v>0</v>
      </c>
      <c r="Z379">
        <v>20</v>
      </c>
      <c r="AA379">
        <v>25</v>
      </c>
      <c r="AB379">
        <v>58</v>
      </c>
      <c r="AC379">
        <v>56</v>
      </c>
      <c r="AD379">
        <v>114</v>
      </c>
      <c r="AE379">
        <v>52</v>
      </c>
      <c r="AF379">
        <v>59</v>
      </c>
      <c r="AG379">
        <v>87</v>
      </c>
      <c r="AH379">
        <v>72</v>
      </c>
      <c r="AI379">
        <v>49</v>
      </c>
      <c r="AJ379">
        <v>122</v>
      </c>
      <c r="AK379">
        <v>106</v>
      </c>
      <c r="AL379">
        <v>40</v>
      </c>
      <c r="AM379">
        <v>-1</v>
      </c>
      <c r="AN379">
        <v>0</v>
      </c>
      <c r="AO379">
        <v>0</v>
      </c>
      <c r="AP379">
        <v>0</v>
      </c>
      <c r="AQ379">
        <v>0</v>
      </c>
      <c r="AR379">
        <f t="shared" si="1008"/>
        <v>0</v>
      </c>
      <c r="AS379">
        <f>IF(AND(IFERROR(VLOOKUP(AJ379,Equip!$A:$N,13,FALSE),0)&gt;=5,IFERROR(VLOOKUP(AJ379,Equip!$A:$N,13,FALSE),0)&lt;=9),INT(VLOOKUP(AJ379,Equip!$A:$N,6,FALSE)*SQRT(AN379)),0)</f>
        <v>0</v>
      </c>
      <c r="AT379">
        <f>IF(AND(IFERROR(VLOOKUP(AK379,Equip!$A:$N,13,FALSE),0)&gt;=5,IFERROR(VLOOKUP(AK379,Equip!$A:$N,13,FALSE),0)&lt;=9),INT(VLOOKUP(AK379,Equip!$A:$N,6,FALSE)*SQRT(AO379)),0)</f>
        <v>0</v>
      </c>
      <c r="AU379">
        <f>IF(AND(IFERROR(VLOOKUP(AL379,Equip!$A:$N,13,FALSE),0)&gt;=5,IFERROR(VLOOKUP(AL379,Equip!$A:$N,13,FALSE),0)&lt;=9),INT(VLOOKUP(AL379,Equip!$A:$N,6,FALSE)*SQRT(AP379)),0)</f>
        <v>0</v>
      </c>
      <c r="AV379">
        <f>IF(AND(IFERROR(VLOOKUP(AM379,Equip!$A:$N,13,FALSE),0)&gt;=5,IFERROR(VLOOKUP(AM379,Equip!$A:$N,13,FALSE),0)&lt;=9),INT(VLOOKUP(AM379,Equip!$A:$N,6,FALSE)*SQRT(AQ379)),0)</f>
        <v>0</v>
      </c>
      <c r="AW379">
        <f t="shared" si="1009"/>
        <v>0</v>
      </c>
      <c r="AX379">
        <f t="shared" si="1010"/>
        <v>525</v>
      </c>
    </row>
    <row r="380" spans="1:50">
      <c r="A380">
        <v>223</v>
      </c>
      <c r="B380" t="s">
        <v>890</v>
      </c>
      <c r="C380" t="s">
        <v>890</v>
      </c>
      <c r="D380">
        <v>0</v>
      </c>
      <c r="E380">
        <v>1458</v>
      </c>
      <c r="F380">
        <v>829</v>
      </c>
      <c r="G380">
        <v>223</v>
      </c>
      <c r="H380">
        <v>1</v>
      </c>
      <c r="I380">
        <v>1</v>
      </c>
      <c r="J380">
        <v>2</v>
      </c>
      <c r="K380">
        <v>1</v>
      </c>
      <c r="L380">
        <v>1</v>
      </c>
      <c r="M380">
        <v>20</v>
      </c>
      <c r="N380">
        <v>20</v>
      </c>
      <c r="O380">
        <v>18</v>
      </c>
      <c r="P380">
        <v>9</v>
      </c>
      <c r="Q380">
        <v>15</v>
      </c>
      <c r="R380">
        <v>48</v>
      </c>
      <c r="S380">
        <v>70</v>
      </c>
      <c r="T380">
        <v>26</v>
      </c>
      <c r="U380">
        <v>10</v>
      </c>
      <c r="V380">
        <v>8</v>
      </c>
      <c r="W380">
        <v>1</v>
      </c>
      <c r="X380">
        <v>7</v>
      </c>
      <c r="Y380">
        <v>0</v>
      </c>
      <c r="Z380">
        <v>20</v>
      </c>
      <c r="AA380">
        <v>25</v>
      </c>
      <c r="AB380">
        <v>50</v>
      </c>
      <c r="AC380">
        <v>47</v>
      </c>
      <c r="AD380">
        <v>101</v>
      </c>
      <c r="AE380">
        <v>28</v>
      </c>
      <c r="AF380">
        <v>47</v>
      </c>
      <c r="AG380">
        <v>85</v>
      </c>
      <c r="AH380">
        <v>62</v>
      </c>
      <c r="AI380">
        <v>28</v>
      </c>
      <c r="AJ380">
        <v>122</v>
      </c>
      <c r="AK380">
        <v>15</v>
      </c>
      <c r="AL380">
        <v>40</v>
      </c>
      <c r="AM380">
        <v>-1</v>
      </c>
      <c r="AN380">
        <v>0</v>
      </c>
      <c r="AO380">
        <v>0</v>
      </c>
      <c r="AP380">
        <v>0</v>
      </c>
      <c r="AQ380">
        <v>0</v>
      </c>
      <c r="AR380">
        <f t="shared" si="1008"/>
        <v>0</v>
      </c>
      <c r="AS380">
        <f>IF(AND(IFERROR(VLOOKUP(AJ380,Equip!$A:$N,13,FALSE),0)&gt;=5,IFERROR(VLOOKUP(AJ380,Equip!$A:$N,13,FALSE),0)&lt;=9),INT(VLOOKUP(AJ380,Equip!$A:$N,6,FALSE)*SQRT(AN380)),0)</f>
        <v>0</v>
      </c>
      <c r="AT380">
        <f>IF(AND(IFERROR(VLOOKUP(AK380,Equip!$A:$N,13,FALSE),0)&gt;=5,IFERROR(VLOOKUP(AK380,Equip!$A:$N,13,FALSE),0)&lt;=9),INT(VLOOKUP(AK380,Equip!$A:$N,6,FALSE)*SQRT(AO380)),0)</f>
        <v>0</v>
      </c>
      <c r="AU380">
        <f>IF(AND(IFERROR(VLOOKUP(AL380,Equip!$A:$N,13,FALSE),0)&gt;=5,IFERROR(VLOOKUP(AL380,Equip!$A:$N,13,FALSE),0)&lt;=9),INT(VLOOKUP(AL380,Equip!$A:$N,6,FALSE)*SQRT(AP380)),0)</f>
        <v>0</v>
      </c>
      <c r="AV380">
        <f>IF(AND(IFERROR(VLOOKUP(AM380,Equip!$A:$N,13,FALSE),0)&gt;=5,IFERROR(VLOOKUP(AM380,Equip!$A:$N,13,FALSE),0)&lt;=9),INT(VLOOKUP(AM380,Equip!$A:$N,6,FALSE)*SQRT(AQ380)),0)</f>
        <v>0</v>
      </c>
      <c r="AW380">
        <f t="shared" si="1009"/>
        <v>0</v>
      </c>
      <c r="AX380">
        <f t="shared" si="1010"/>
        <v>421</v>
      </c>
    </row>
    <row r="381" spans="1:50">
      <c r="A381">
        <v>223</v>
      </c>
      <c r="B381" t="s">
        <v>890</v>
      </c>
      <c r="C381" t="s">
        <v>890</v>
      </c>
      <c r="D381">
        <v>1</v>
      </c>
      <c r="E381">
        <f>E380</f>
        <v>1458</v>
      </c>
      <c r="F381">
        <f t="shared" ref="F381" si="1215">F380</f>
        <v>829</v>
      </c>
      <c r="G381">
        <f t="shared" ref="G381" si="1216">G380</f>
        <v>223</v>
      </c>
      <c r="H381">
        <f t="shared" ref="H381" si="1217">H380</f>
        <v>1</v>
      </c>
      <c r="I381">
        <f t="shared" ref="I381" si="1218">I380</f>
        <v>1</v>
      </c>
      <c r="J381">
        <f t="shared" ref="J381" si="1219">J380</f>
        <v>2</v>
      </c>
      <c r="K381">
        <v>1</v>
      </c>
      <c r="L381">
        <v>1</v>
      </c>
      <c r="M381">
        <v>37</v>
      </c>
      <c r="N381">
        <v>37</v>
      </c>
      <c r="O381">
        <v>18</v>
      </c>
      <c r="P381">
        <v>9</v>
      </c>
      <c r="Q381">
        <v>15</v>
      </c>
      <c r="R381">
        <v>48</v>
      </c>
      <c r="S381">
        <v>70</v>
      </c>
      <c r="T381">
        <v>26</v>
      </c>
      <c r="U381">
        <f t="shared" ref="U381" si="1220">U380</f>
        <v>10</v>
      </c>
      <c r="V381">
        <v>8</v>
      </c>
      <c r="W381">
        <f t="shared" ref="W381" si="1221">W380</f>
        <v>1</v>
      </c>
      <c r="X381">
        <v>8</v>
      </c>
      <c r="Y381">
        <f t="shared" ref="Y381" si="1222">Y380</f>
        <v>0</v>
      </c>
      <c r="Z381">
        <v>20</v>
      </c>
      <c r="AA381">
        <v>25</v>
      </c>
      <c r="AB381">
        <v>60</v>
      </c>
      <c r="AC381">
        <v>54</v>
      </c>
      <c r="AD381">
        <v>110</v>
      </c>
      <c r="AE381">
        <v>54</v>
      </c>
      <c r="AF381">
        <v>71</v>
      </c>
      <c r="AG381">
        <v>89</v>
      </c>
      <c r="AH381">
        <v>72</v>
      </c>
      <c r="AI381">
        <v>49</v>
      </c>
      <c r="AJ381">
        <v>122</v>
      </c>
      <c r="AK381">
        <v>106</v>
      </c>
      <c r="AL381">
        <v>40</v>
      </c>
      <c r="AM381">
        <v>-1</v>
      </c>
      <c r="AN381">
        <v>0</v>
      </c>
      <c r="AO381">
        <v>0</v>
      </c>
      <c r="AP381">
        <v>0</v>
      </c>
      <c r="AQ381">
        <v>0</v>
      </c>
      <c r="AR381">
        <f t="shared" si="1008"/>
        <v>0</v>
      </c>
      <c r="AS381">
        <f>IF(AND(IFERROR(VLOOKUP(AJ381,Equip!$A:$N,13,FALSE),0)&gt;=5,IFERROR(VLOOKUP(AJ381,Equip!$A:$N,13,FALSE),0)&lt;=9),INT(VLOOKUP(AJ381,Equip!$A:$N,6,FALSE)*SQRT(AN381)),0)</f>
        <v>0</v>
      </c>
      <c r="AT381">
        <f>IF(AND(IFERROR(VLOOKUP(AK381,Equip!$A:$N,13,FALSE),0)&gt;=5,IFERROR(VLOOKUP(AK381,Equip!$A:$N,13,FALSE),0)&lt;=9),INT(VLOOKUP(AK381,Equip!$A:$N,6,FALSE)*SQRT(AO381)),0)</f>
        <v>0</v>
      </c>
      <c r="AU381">
        <f>IF(AND(IFERROR(VLOOKUP(AL381,Equip!$A:$N,13,FALSE),0)&gt;=5,IFERROR(VLOOKUP(AL381,Equip!$A:$N,13,FALSE),0)&lt;=9),INT(VLOOKUP(AL381,Equip!$A:$N,6,FALSE)*SQRT(AP381)),0)</f>
        <v>0</v>
      </c>
      <c r="AV381">
        <f>IF(AND(IFERROR(VLOOKUP(AM381,Equip!$A:$N,13,FALSE),0)&gt;=5,IFERROR(VLOOKUP(AM381,Equip!$A:$N,13,FALSE),0)&lt;=9),INT(VLOOKUP(AM381,Equip!$A:$N,6,FALSE)*SQRT(AQ381)),0)</f>
        <v>0</v>
      </c>
      <c r="AW381">
        <f t="shared" si="1009"/>
        <v>0</v>
      </c>
      <c r="AX381">
        <f t="shared" si="1010"/>
        <v>525</v>
      </c>
    </row>
    <row r="382" spans="1:50">
      <c r="A382">
        <v>224</v>
      </c>
      <c r="B382" t="s">
        <v>891</v>
      </c>
      <c r="C382" t="s">
        <v>891</v>
      </c>
      <c r="D382">
        <v>0</v>
      </c>
      <c r="E382">
        <v>1320</v>
      </c>
      <c r="F382">
        <v>760</v>
      </c>
      <c r="G382">
        <v>224</v>
      </c>
      <c r="H382">
        <v>1</v>
      </c>
      <c r="I382">
        <v>1</v>
      </c>
      <c r="J382">
        <v>7</v>
      </c>
      <c r="K382">
        <v>1</v>
      </c>
      <c r="L382">
        <v>1</v>
      </c>
      <c r="M382">
        <v>16</v>
      </c>
      <c r="N382">
        <v>16</v>
      </c>
      <c r="O382">
        <v>10</v>
      </c>
      <c r="P382">
        <v>6</v>
      </c>
      <c r="Q382">
        <v>24</v>
      </c>
      <c r="R382">
        <v>47</v>
      </c>
      <c r="S382">
        <v>9</v>
      </c>
      <c r="T382">
        <v>27</v>
      </c>
      <c r="U382">
        <v>10</v>
      </c>
      <c r="V382">
        <v>9</v>
      </c>
      <c r="W382">
        <v>1</v>
      </c>
      <c r="X382">
        <v>8</v>
      </c>
      <c r="Y382">
        <v>0</v>
      </c>
      <c r="Z382">
        <v>15</v>
      </c>
      <c r="AA382">
        <v>20</v>
      </c>
      <c r="AB382">
        <v>30</v>
      </c>
      <c r="AC382">
        <v>69</v>
      </c>
      <c r="AD382">
        <v>39</v>
      </c>
      <c r="AE382">
        <v>19</v>
      </c>
      <c r="AF382">
        <v>44</v>
      </c>
      <c r="AG382">
        <v>80</v>
      </c>
      <c r="AH382">
        <v>52</v>
      </c>
      <c r="AI382">
        <v>24</v>
      </c>
      <c r="AJ382">
        <v>2</v>
      </c>
      <c r="AK382">
        <v>39</v>
      </c>
      <c r="AL382">
        <v>-1</v>
      </c>
      <c r="AM382">
        <v>-1</v>
      </c>
      <c r="AN382">
        <v>0</v>
      </c>
      <c r="AO382">
        <v>0</v>
      </c>
      <c r="AP382">
        <v>0</v>
      </c>
      <c r="AQ382">
        <v>0</v>
      </c>
      <c r="AR382">
        <f t="shared" si="1008"/>
        <v>0</v>
      </c>
      <c r="AS382">
        <f>IF(AND(IFERROR(VLOOKUP(AJ382,Equip!$A:$N,13,FALSE),0)&gt;=5,IFERROR(VLOOKUP(AJ382,Equip!$A:$N,13,FALSE),0)&lt;=9),INT(VLOOKUP(AJ382,Equip!$A:$N,6,FALSE)*SQRT(AN382)),0)</f>
        <v>0</v>
      </c>
      <c r="AT382">
        <f>IF(AND(IFERROR(VLOOKUP(AK382,Equip!$A:$N,13,FALSE),0)&gt;=5,IFERROR(VLOOKUP(AK382,Equip!$A:$N,13,FALSE),0)&lt;=9),INT(VLOOKUP(AK382,Equip!$A:$N,6,FALSE)*SQRT(AO382)),0)</f>
        <v>0</v>
      </c>
      <c r="AU382">
        <f>IF(AND(IFERROR(VLOOKUP(AL382,Equip!$A:$N,13,FALSE),0)&gt;=5,IFERROR(VLOOKUP(AL382,Equip!$A:$N,13,FALSE),0)&lt;=9),INT(VLOOKUP(AL382,Equip!$A:$N,6,FALSE)*SQRT(AP382)),0)</f>
        <v>0</v>
      </c>
      <c r="AV382">
        <f>IF(AND(IFERROR(VLOOKUP(AM382,Equip!$A:$N,13,FALSE),0)&gt;=5,IFERROR(VLOOKUP(AM382,Equip!$A:$N,13,FALSE),0)&lt;=9),INT(VLOOKUP(AM382,Equip!$A:$N,6,FALSE)*SQRT(AQ382)),0)</f>
        <v>0</v>
      </c>
      <c r="AW382">
        <f t="shared" si="1009"/>
        <v>0</v>
      </c>
      <c r="AX382">
        <f t="shared" si="1010"/>
        <v>329</v>
      </c>
    </row>
    <row r="383" spans="1:50">
      <c r="A383">
        <v>224</v>
      </c>
      <c r="B383" t="s">
        <v>891</v>
      </c>
      <c r="C383" t="s">
        <v>891</v>
      </c>
      <c r="D383">
        <v>1</v>
      </c>
      <c r="E383">
        <f>E382</f>
        <v>1320</v>
      </c>
      <c r="F383">
        <f t="shared" ref="F383" si="1223">F382</f>
        <v>760</v>
      </c>
      <c r="G383">
        <f t="shared" ref="G383" si="1224">G382</f>
        <v>224</v>
      </c>
      <c r="H383">
        <f t="shared" ref="H383" si="1225">H382</f>
        <v>1</v>
      </c>
      <c r="I383">
        <f t="shared" ref="I383" si="1226">I382</f>
        <v>1</v>
      </c>
      <c r="J383">
        <f t="shared" ref="J383" si="1227">J382</f>
        <v>7</v>
      </c>
      <c r="K383">
        <v>1</v>
      </c>
      <c r="L383">
        <v>1</v>
      </c>
      <c r="M383">
        <v>32</v>
      </c>
      <c r="N383">
        <v>32</v>
      </c>
      <c r="O383">
        <v>10</v>
      </c>
      <c r="P383">
        <v>6</v>
      </c>
      <c r="Q383">
        <v>24</v>
      </c>
      <c r="R383">
        <v>48</v>
      </c>
      <c r="S383">
        <v>9</v>
      </c>
      <c r="T383">
        <v>29</v>
      </c>
      <c r="U383">
        <f t="shared" ref="U383" si="1228">U382</f>
        <v>10</v>
      </c>
      <c r="V383">
        <v>13</v>
      </c>
      <c r="W383">
        <f t="shared" ref="W383" si="1229">W382</f>
        <v>1</v>
      </c>
      <c r="X383">
        <v>10</v>
      </c>
      <c r="Y383">
        <f t="shared" ref="Y383" si="1230">Y382</f>
        <v>0</v>
      </c>
      <c r="Z383">
        <v>15</v>
      </c>
      <c r="AA383">
        <v>20</v>
      </c>
      <c r="AB383">
        <v>50</v>
      </c>
      <c r="AC383">
        <v>80</v>
      </c>
      <c r="AD383">
        <v>50</v>
      </c>
      <c r="AE383">
        <v>49</v>
      </c>
      <c r="AF383">
        <v>57</v>
      </c>
      <c r="AG383">
        <v>90</v>
      </c>
      <c r="AH383">
        <v>67</v>
      </c>
      <c r="AI383">
        <v>52</v>
      </c>
      <c r="AJ383">
        <v>129</v>
      </c>
      <c r="AK383">
        <v>28</v>
      </c>
      <c r="AL383">
        <v>27</v>
      </c>
      <c r="AM383">
        <v>-1</v>
      </c>
      <c r="AN383">
        <v>0</v>
      </c>
      <c r="AO383">
        <v>0</v>
      </c>
      <c r="AP383">
        <v>0</v>
      </c>
      <c r="AQ383">
        <v>0</v>
      </c>
      <c r="AR383">
        <f t="shared" si="1008"/>
        <v>0</v>
      </c>
      <c r="AS383">
        <f>IF(AND(IFERROR(VLOOKUP(AJ383,Equip!$A:$N,13,FALSE),0)&gt;=5,IFERROR(VLOOKUP(AJ383,Equip!$A:$N,13,FALSE),0)&lt;=9),INT(VLOOKUP(AJ383,Equip!$A:$N,6,FALSE)*SQRT(AN383)),0)</f>
        <v>0</v>
      </c>
      <c r="AT383">
        <f>IF(AND(IFERROR(VLOOKUP(AK383,Equip!$A:$N,13,FALSE),0)&gt;=5,IFERROR(VLOOKUP(AK383,Equip!$A:$N,13,FALSE),0)&lt;=9),INT(VLOOKUP(AK383,Equip!$A:$N,6,FALSE)*SQRT(AO383)),0)</f>
        <v>0</v>
      </c>
      <c r="AU383">
        <f>IF(AND(IFERROR(VLOOKUP(AL383,Equip!$A:$N,13,FALSE),0)&gt;=5,IFERROR(VLOOKUP(AL383,Equip!$A:$N,13,FALSE),0)&lt;=9),INT(VLOOKUP(AL383,Equip!$A:$N,6,FALSE)*SQRT(AP383)),0)</f>
        <v>0</v>
      </c>
      <c r="AV383">
        <f>IF(AND(IFERROR(VLOOKUP(AM383,Equip!$A:$N,13,FALSE),0)&gt;=5,IFERROR(VLOOKUP(AM383,Equip!$A:$N,13,FALSE),0)&lt;=9),INT(VLOOKUP(AM383,Equip!$A:$N,6,FALSE)*SQRT(AQ383)),0)</f>
        <v>0</v>
      </c>
      <c r="AW383">
        <f t="shared" si="1009"/>
        <v>0</v>
      </c>
      <c r="AX383">
        <f t="shared" si="1010"/>
        <v>470</v>
      </c>
    </row>
    <row r="384" spans="1:50">
      <c r="A384">
        <v>225</v>
      </c>
      <c r="B384" t="s">
        <v>892</v>
      </c>
      <c r="C384" t="s">
        <v>892</v>
      </c>
      <c r="D384">
        <v>0</v>
      </c>
      <c r="E384">
        <v>1320</v>
      </c>
      <c r="F384">
        <v>760</v>
      </c>
      <c r="G384">
        <v>225</v>
      </c>
      <c r="H384">
        <v>1</v>
      </c>
      <c r="I384">
        <v>1</v>
      </c>
      <c r="J384">
        <v>0</v>
      </c>
      <c r="K384">
        <v>1</v>
      </c>
      <c r="L384">
        <v>1</v>
      </c>
      <c r="M384">
        <v>16</v>
      </c>
      <c r="N384">
        <v>16</v>
      </c>
      <c r="O384">
        <v>12</v>
      </c>
      <c r="P384">
        <v>6</v>
      </c>
      <c r="Q384">
        <v>24</v>
      </c>
      <c r="R384">
        <v>47</v>
      </c>
      <c r="S384">
        <v>11</v>
      </c>
      <c r="T384">
        <v>41</v>
      </c>
      <c r="U384">
        <v>10</v>
      </c>
      <c r="V384">
        <v>6</v>
      </c>
      <c r="W384">
        <v>1</v>
      </c>
      <c r="X384">
        <v>16</v>
      </c>
      <c r="Y384">
        <v>0</v>
      </c>
      <c r="Z384">
        <v>15</v>
      </c>
      <c r="AA384">
        <v>20</v>
      </c>
      <c r="AB384">
        <v>29</v>
      </c>
      <c r="AC384">
        <v>68</v>
      </c>
      <c r="AD384">
        <v>44</v>
      </c>
      <c r="AE384">
        <v>19</v>
      </c>
      <c r="AF384">
        <v>59</v>
      </c>
      <c r="AG384">
        <v>80</v>
      </c>
      <c r="AH384">
        <v>64</v>
      </c>
      <c r="AI384">
        <v>19</v>
      </c>
      <c r="AJ384">
        <v>2</v>
      </c>
      <c r="AK384">
        <v>46</v>
      </c>
      <c r="AL384">
        <v>-1</v>
      </c>
      <c r="AM384">
        <v>-1</v>
      </c>
      <c r="AN384">
        <v>0</v>
      </c>
      <c r="AO384">
        <v>0</v>
      </c>
      <c r="AP384">
        <v>0</v>
      </c>
      <c r="AQ384">
        <v>0</v>
      </c>
      <c r="AR384">
        <f t="shared" si="1008"/>
        <v>0</v>
      </c>
      <c r="AS384">
        <f>IF(AND(IFERROR(VLOOKUP(AJ384,Equip!$A:$N,13,FALSE),0)&gt;=5,IFERROR(VLOOKUP(AJ384,Equip!$A:$N,13,FALSE),0)&lt;=9),INT(VLOOKUP(AJ384,Equip!$A:$N,6,FALSE)*SQRT(AN384)),0)</f>
        <v>0</v>
      </c>
      <c r="AT384">
        <f>IF(AND(IFERROR(VLOOKUP(AK384,Equip!$A:$N,13,FALSE),0)&gt;=5,IFERROR(VLOOKUP(AK384,Equip!$A:$N,13,FALSE),0)&lt;=9),INT(VLOOKUP(AK384,Equip!$A:$N,6,FALSE)*SQRT(AO384)),0)</f>
        <v>0</v>
      </c>
      <c r="AU384">
        <f>IF(AND(IFERROR(VLOOKUP(AL384,Equip!$A:$N,13,FALSE),0)&gt;=5,IFERROR(VLOOKUP(AL384,Equip!$A:$N,13,FALSE),0)&lt;=9),INT(VLOOKUP(AL384,Equip!$A:$N,6,FALSE)*SQRT(AP384)),0)</f>
        <v>0</v>
      </c>
      <c r="AV384">
        <f>IF(AND(IFERROR(VLOOKUP(AM384,Equip!$A:$N,13,FALSE),0)&gt;=5,IFERROR(VLOOKUP(AM384,Equip!$A:$N,13,FALSE),0)&lt;=9),INT(VLOOKUP(AM384,Equip!$A:$N,6,FALSE)*SQRT(AQ384)),0)</f>
        <v>0</v>
      </c>
      <c r="AW384">
        <f t="shared" si="1009"/>
        <v>0</v>
      </c>
      <c r="AX384">
        <f t="shared" si="1010"/>
        <v>339</v>
      </c>
    </row>
    <row r="385" spans="1:50">
      <c r="A385">
        <v>225</v>
      </c>
      <c r="B385" t="s">
        <v>892</v>
      </c>
      <c r="C385" t="s">
        <v>892</v>
      </c>
      <c r="D385">
        <v>1</v>
      </c>
      <c r="E385">
        <f>E384</f>
        <v>1320</v>
      </c>
      <c r="F385">
        <f t="shared" ref="F385" si="1231">F384</f>
        <v>760</v>
      </c>
      <c r="G385">
        <f t="shared" ref="G385" si="1232">G384</f>
        <v>225</v>
      </c>
      <c r="H385">
        <f t="shared" ref="H385" si="1233">H384</f>
        <v>1</v>
      </c>
      <c r="I385">
        <f t="shared" ref="I385" si="1234">I384</f>
        <v>1</v>
      </c>
      <c r="J385">
        <f t="shared" ref="J385" si="1235">J384</f>
        <v>0</v>
      </c>
      <c r="K385">
        <v>1</v>
      </c>
      <c r="L385">
        <v>1</v>
      </c>
      <c r="M385">
        <v>33</v>
      </c>
      <c r="N385">
        <v>33</v>
      </c>
      <c r="O385">
        <v>27</v>
      </c>
      <c r="P385">
        <v>21</v>
      </c>
      <c r="Q385">
        <v>47</v>
      </c>
      <c r="R385">
        <v>70</v>
      </c>
      <c r="S385">
        <v>48</v>
      </c>
      <c r="T385">
        <v>66</v>
      </c>
      <c r="U385">
        <f t="shared" ref="U385" si="1236">U384</f>
        <v>10</v>
      </c>
      <c r="V385">
        <v>25</v>
      </c>
      <c r="W385">
        <f t="shared" ref="W385" si="1237">W384</f>
        <v>1</v>
      </c>
      <c r="X385">
        <v>18</v>
      </c>
      <c r="Y385">
        <f t="shared" ref="Y385" si="1238">Y384</f>
        <v>0</v>
      </c>
      <c r="Z385">
        <v>15</v>
      </c>
      <c r="AA385">
        <v>20</v>
      </c>
      <c r="AB385">
        <v>47</v>
      </c>
      <c r="AC385">
        <v>78</v>
      </c>
      <c r="AD385">
        <v>62</v>
      </c>
      <c r="AE385">
        <v>49</v>
      </c>
      <c r="AF385">
        <v>68</v>
      </c>
      <c r="AG385">
        <v>92</v>
      </c>
      <c r="AH385">
        <v>79</v>
      </c>
      <c r="AI385">
        <v>43</v>
      </c>
      <c r="AJ385">
        <v>91</v>
      </c>
      <c r="AK385">
        <v>47</v>
      </c>
      <c r="AL385">
        <v>39</v>
      </c>
      <c r="AM385">
        <v>-1</v>
      </c>
      <c r="AN385">
        <v>0</v>
      </c>
      <c r="AO385">
        <v>0</v>
      </c>
      <c r="AP385">
        <v>0</v>
      </c>
      <c r="AQ385">
        <v>0</v>
      </c>
      <c r="AR385">
        <f t="shared" si="1008"/>
        <v>0</v>
      </c>
      <c r="AS385">
        <f>IF(AND(IFERROR(VLOOKUP(AJ385,Equip!$A:$N,13,FALSE),0)&gt;=5,IFERROR(VLOOKUP(AJ385,Equip!$A:$N,13,FALSE),0)&lt;=9),INT(VLOOKUP(AJ385,Equip!$A:$N,6,FALSE)*SQRT(AN385)),0)</f>
        <v>0</v>
      </c>
      <c r="AT385">
        <f>IF(AND(IFERROR(VLOOKUP(AK385,Equip!$A:$N,13,FALSE),0)&gt;=5,IFERROR(VLOOKUP(AK385,Equip!$A:$N,13,FALSE),0)&lt;=9),INT(VLOOKUP(AK385,Equip!$A:$N,6,FALSE)*SQRT(AO385)),0)</f>
        <v>0</v>
      </c>
      <c r="AU385">
        <f>IF(AND(IFERROR(VLOOKUP(AL385,Equip!$A:$N,13,FALSE),0)&gt;=5,IFERROR(VLOOKUP(AL385,Equip!$A:$N,13,FALSE),0)&lt;=9),INT(VLOOKUP(AL385,Equip!$A:$N,6,FALSE)*SQRT(AP385)),0)</f>
        <v>0</v>
      </c>
      <c r="AV385">
        <f>IF(AND(IFERROR(VLOOKUP(AM385,Equip!$A:$N,13,FALSE),0)&gt;=5,IFERROR(VLOOKUP(AM385,Equip!$A:$N,13,FALSE),0)&lt;=9),INT(VLOOKUP(AM385,Equip!$A:$N,6,FALSE)*SQRT(AQ385)),0)</f>
        <v>0</v>
      </c>
      <c r="AW385">
        <f t="shared" si="1009"/>
        <v>0</v>
      </c>
      <c r="AX385">
        <f t="shared" si="1010"/>
        <v>483</v>
      </c>
    </row>
    <row r="386" spans="1:50">
      <c r="A386">
        <v>231</v>
      </c>
      <c r="B386" t="s">
        <v>893</v>
      </c>
      <c r="C386" t="s">
        <v>893</v>
      </c>
      <c r="D386">
        <v>0</v>
      </c>
      <c r="E386">
        <v>991</v>
      </c>
      <c r="F386">
        <v>595</v>
      </c>
      <c r="G386">
        <v>231</v>
      </c>
      <c r="H386">
        <v>0</v>
      </c>
      <c r="I386">
        <v>2</v>
      </c>
      <c r="J386">
        <v>10</v>
      </c>
      <c r="K386">
        <v>14</v>
      </c>
      <c r="L386">
        <v>1</v>
      </c>
      <c r="M386">
        <v>8</v>
      </c>
      <c r="N386">
        <v>8</v>
      </c>
      <c r="O386">
        <v>2</v>
      </c>
      <c r="P386">
        <v>4</v>
      </c>
      <c r="Q386">
        <v>22</v>
      </c>
      <c r="R386">
        <v>18</v>
      </c>
      <c r="S386">
        <v>0</v>
      </c>
      <c r="T386">
        <v>0</v>
      </c>
      <c r="U386">
        <v>5</v>
      </c>
      <c r="V386">
        <v>8</v>
      </c>
      <c r="W386">
        <v>1</v>
      </c>
      <c r="X386">
        <v>30</v>
      </c>
      <c r="Y386">
        <v>0</v>
      </c>
      <c r="Z386">
        <v>10</v>
      </c>
      <c r="AA386">
        <v>20</v>
      </c>
      <c r="AB386">
        <v>8</v>
      </c>
      <c r="AC386">
        <v>58</v>
      </c>
      <c r="AD386">
        <v>0</v>
      </c>
      <c r="AE386">
        <v>16</v>
      </c>
      <c r="AF386">
        <v>63</v>
      </c>
      <c r="AG386">
        <v>44</v>
      </c>
      <c r="AH386">
        <v>0</v>
      </c>
      <c r="AI386">
        <v>28</v>
      </c>
      <c r="AJ386">
        <v>126</v>
      </c>
      <c r="AK386">
        <v>0</v>
      </c>
      <c r="AL386">
        <v>-1</v>
      </c>
      <c r="AM386">
        <v>-1</v>
      </c>
      <c r="AN386">
        <v>0</v>
      </c>
      <c r="AO386">
        <v>0</v>
      </c>
      <c r="AP386">
        <v>0</v>
      </c>
      <c r="AQ386">
        <v>0</v>
      </c>
      <c r="AR386">
        <f t="shared" si="1008"/>
        <v>0</v>
      </c>
      <c r="AS386">
        <f>IF(AND(IFERROR(VLOOKUP(AJ386,Equip!$A:$N,13,FALSE),0)&gt;=5,IFERROR(VLOOKUP(AJ386,Equip!$A:$N,13,FALSE),0)&lt;=9),INT(VLOOKUP(AJ386,Equip!$A:$N,6,FALSE)*SQRT(AN386)),0)</f>
        <v>0</v>
      </c>
      <c r="AT386">
        <f>IF(AND(IFERROR(VLOOKUP(AK386,Equip!$A:$N,13,FALSE),0)&gt;=5,IFERROR(VLOOKUP(AK386,Equip!$A:$N,13,FALSE),0)&lt;=9),INT(VLOOKUP(AK386,Equip!$A:$N,6,FALSE)*SQRT(AO386)),0)</f>
        <v>0</v>
      </c>
      <c r="AU386">
        <f>IF(AND(IFERROR(VLOOKUP(AL386,Equip!$A:$N,13,FALSE),0)&gt;=5,IFERROR(VLOOKUP(AL386,Equip!$A:$N,13,FALSE),0)&lt;=9),INT(VLOOKUP(AL386,Equip!$A:$N,6,FALSE)*SQRT(AP386)),0)</f>
        <v>0</v>
      </c>
      <c r="AV386">
        <f>IF(AND(IFERROR(VLOOKUP(AM386,Equip!$A:$N,13,FALSE),0)&gt;=5,IFERROR(VLOOKUP(AM386,Equip!$A:$N,13,FALSE),0)&lt;=9),INT(VLOOKUP(AM386,Equip!$A:$N,6,FALSE)*SQRT(AQ386)),0)</f>
        <v>0</v>
      </c>
      <c r="AW386">
        <f t="shared" si="1009"/>
        <v>0</v>
      </c>
      <c r="AX386">
        <f t="shared" si="1010"/>
        <v>162</v>
      </c>
    </row>
    <row r="387" spans="1:50">
      <c r="A387">
        <v>231</v>
      </c>
      <c r="B387" t="s">
        <v>893</v>
      </c>
      <c r="C387" t="s">
        <v>893</v>
      </c>
      <c r="D387">
        <v>1</v>
      </c>
      <c r="E387">
        <f t="shared" ref="E387:E388" si="1239">E386</f>
        <v>991</v>
      </c>
      <c r="F387">
        <f t="shared" ref="F387:F388" si="1240">F386</f>
        <v>595</v>
      </c>
      <c r="G387">
        <f t="shared" ref="G387:G388" si="1241">G386</f>
        <v>231</v>
      </c>
      <c r="H387">
        <f t="shared" ref="H387:H388" si="1242">H386</f>
        <v>0</v>
      </c>
      <c r="I387">
        <f t="shared" ref="I387:I388" si="1243">I386</f>
        <v>2</v>
      </c>
      <c r="J387">
        <f t="shared" ref="J387" si="1244">J386</f>
        <v>10</v>
      </c>
      <c r="K387">
        <v>14</v>
      </c>
      <c r="L387">
        <v>1</v>
      </c>
      <c r="M387">
        <v>13</v>
      </c>
      <c r="N387">
        <v>13</v>
      </c>
      <c r="O387">
        <v>3</v>
      </c>
      <c r="P387">
        <v>6</v>
      </c>
      <c r="Q387">
        <v>27</v>
      </c>
      <c r="R387">
        <v>33</v>
      </c>
      <c r="S387">
        <v>0</v>
      </c>
      <c r="T387">
        <v>0</v>
      </c>
      <c r="U387">
        <f t="shared" ref="U387:U388" si="1245">U386</f>
        <v>5</v>
      </c>
      <c r="V387">
        <v>16</v>
      </c>
      <c r="W387">
        <f t="shared" ref="W387:W388" si="1246">W386</f>
        <v>1</v>
      </c>
      <c r="X387">
        <v>34</v>
      </c>
      <c r="Y387">
        <f t="shared" ref="Y387:Y388" si="1247">Y386</f>
        <v>0</v>
      </c>
      <c r="Z387">
        <v>10</v>
      </c>
      <c r="AA387">
        <v>20</v>
      </c>
      <c r="AB387">
        <v>12</v>
      </c>
      <c r="AC387">
        <v>64</v>
      </c>
      <c r="AD387">
        <v>0</v>
      </c>
      <c r="AE387">
        <v>20</v>
      </c>
      <c r="AF387">
        <v>67</v>
      </c>
      <c r="AG387">
        <v>59</v>
      </c>
      <c r="AH387">
        <v>0</v>
      </c>
      <c r="AI387">
        <v>29</v>
      </c>
      <c r="AJ387">
        <v>0</v>
      </c>
      <c r="AK387">
        <v>0</v>
      </c>
      <c r="AL387">
        <v>-1</v>
      </c>
      <c r="AM387">
        <v>-1</v>
      </c>
      <c r="AN387">
        <v>0</v>
      </c>
      <c r="AO387">
        <v>0</v>
      </c>
      <c r="AP387">
        <v>0</v>
      </c>
      <c r="AQ387">
        <v>0</v>
      </c>
      <c r="AR387">
        <f t="shared" si="1008"/>
        <v>0</v>
      </c>
      <c r="AS387">
        <f>IF(AND(IFERROR(VLOOKUP(AJ387,Equip!$A:$N,13,FALSE),0)&gt;=5,IFERROR(VLOOKUP(AJ387,Equip!$A:$N,13,FALSE),0)&lt;=9),INT(VLOOKUP(AJ387,Equip!$A:$N,6,FALSE)*SQRT(AN387)),0)</f>
        <v>0</v>
      </c>
      <c r="AT387">
        <f>IF(AND(IFERROR(VLOOKUP(AK387,Equip!$A:$N,13,FALSE),0)&gt;=5,IFERROR(VLOOKUP(AK387,Equip!$A:$N,13,FALSE),0)&lt;=9),INT(VLOOKUP(AK387,Equip!$A:$N,6,FALSE)*SQRT(AO387)),0)</f>
        <v>0</v>
      </c>
      <c r="AU387">
        <f>IF(AND(IFERROR(VLOOKUP(AL387,Equip!$A:$N,13,FALSE),0)&gt;=5,IFERROR(VLOOKUP(AL387,Equip!$A:$N,13,FALSE),0)&lt;=9),INT(VLOOKUP(AL387,Equip!$A:$N,6,FALSE)*SQRT(AP387)),0)</f>
        <v>0</v>
      </c>
      <c r="AV387">
        <f>IF(AND(IFERROR(VLOOKUP(AM387,Equip!$A:$N,13,FALSE),0)&gt;=5,IFERROR(VLOOKUP(AM387,Equip!$A:$N,13,FALSE),0)&lt;=9),INT(VLOOKUP(AM387,Equip!$A:$N,6,FALSE)*SQRT(AQ387)),0)</f>
        <v>0</v>
      </c>
      <c r="AW387">
        <f t="shared" si="1009"/>
        <v>0</v>
      </c>
      <c r="AX387">
        <f t="shared" si="1010"/>
        <v>197</v>
      </c>
    </row>
    <row r="388" spans="1:50" ht="14.25">
      <c r="A388">
        <v>231</v>
      </c>
      <c r="B388" s="4" t="s">
        <v>1385</v>
      </c>
      <c r="C388" s="4" t="s">
        <v>1385</v>
      </c>
      <c r="D388">
        <v>2</v>
      </c>
      <c r="E388">
        <f t="shared" si="1239"/>
        <v>991</v>
      </c>
      <c r="F388">
        <f t="shared" si="1240"/>
        <v>595</v>
      </c>
      <c r="G388">
        <f t="shared" si="1241"/>
        <v>231</v>
      </c>
      <c r="H388">
        <f t="shared" si="1242"/>
        <v>0</v>
      </c>
      <c r="I388">
        <f t="shared" si="1243"/>
        <v>2</v>
      </c>
      <c r="J388">
        <v>9</v>
      </c>
      <c r="K388">
        <v>14</v>
      </c>
      <c r="L388">
        <v>1</v>
      </c>
      <c r="M388">
        <v>13</v>
      </c>
      <c r="N388">
        <v>13</v>
      </c>
      <c r="O388">
        <v>4</v>
      </c>
      <c r="P388">
        <v>7</v>
      </c>
      <c r="Q388">
        <v>30</v>
      </c>
      <c r="R388">
        <v>50</v>
      </c>
      <c r="S388">
        <v>0</v>
      </c>
      <c r="T388">
        <v>0</v>
      </c>
      <c r="U388">
        <f t="shared" si="1245"/>
        <v>5</v>
      </c>
      <c r="V388">
        <v>24</v>
      </c>
      <c r="W388">
        <f t="shared" si="1246"/>
        <v>1</v>
      </c>
      <c r="X388">
        <v>44</v>
      </c>
      <c r="Y388">
        <f t="shared" si="1247"/>
        <v>0</v>
      </c>
      <c r="Z388">
        <v>10</v>
      </c>
      <c r="AA388">
        <v>20</v>
      </c>
      <c r="AB388">
        <v>13</v>
      </c>
      <c r="AC388">
        <v>69</v>
      </c>
      <c r="AD388">
        <v>0</v>
      </c>
      <c r="AE388">
        <v>21</v>
      </c>
      <c r="AF388">
        <v>77</v>
      </c>
      <c r="AG388">
        <v>68</v>
      </c>
      <c r="AH388">
        <v>0</v>
      </c>
      <c r="AI388">
        <v>34</v>
      </c>
      <c r="AJ388">
        <v>127</v>
      </c>
      <c r="AK388">
        <v>0</v>
      </c>
      <c r="AL388">
        <v>-1</v>
      </c>
      <c r="AM388">
        <v>-1</v>
      </c>
      <c r="AN388">
        <v>0</v>
      </c>
      <c r="AO388">
        <v>0</v>
      </c>
      <c r="AP388">
        <v>0</v>
      </c>
      <c r="AQ388">
        <v>0</v>
      </c>
      <c r="AR388">
        <f t="shared" ref="AR388:AR451" si="1248">SUM(AN388:AQ388)</f>
        <v>0</v>
      </c>
      <c r="AS388">
        <f>IF(AND(IFERROR(VLOOKUP(AJ388,Equip!$A:$N,13,FALSE),0)&gt;=5,IFERROR(VLOOKUP(AJ388,Equip!$A:$N,13,FALSE),0)&lt;=9),INT(VLOOKUP(AJ388,Equip!$A:$N,6,FALSE)*SQRT(AN388)),0)</f>
        <v>0</v>
      </c>
      <c r="AT388">
        <f>IF(AND(IFERROR(VLOOKUP(AK388,Equip!$A:$N,13,FALSE),0)&gt;=5,IFERROR(VLOOKUP(AK388,Equip!$A:$N,13,FALSE),0)&lt;=9),INT(VLOOKUP(AK388,Equip!$A:$N,6,FALSE)*SQRT(AO388)),0)</f>
        <v>0</v>
      </c>
      <c r="AU388">
        <f>IF(AND(IFERROR(VLOOKUP(AL388,Equip!$A:$N,13,FALSE),0)&gt;=5,IFERROR(VLOOKUP(AL388,Equip!$A:$N,13,FALSE),0)&lt;=9),INT(VLOOKUP(AL388,Equip!$A:$N,6,FALSE)*SQRT(AP388)),0)</f>
        <v>0</v>
      </c>
      <c r="AV388">
        <f>IF(AND(IFERROR(VLOOKUP(AM388,Equip!$A:$N,13,FALSE),0)&gt;=5,IFERROR(VLOOKUP(AM388,Equip!$A:$N,13,FALSE),0)&lt;=9),INT(VLOOKUP(AM388,Equip!$A:$N,6,FALSE)*SQRT(AQ388)),0)</f>
        <v>0</v>
      </c>
      <c r="AW388">
        <f t="shared" ref="AW388:AW451" si="1249">SUM(AS388:AV388)</f>
        <v>0</v>
      </c>
      <c r="AX388">
        <f t="shared" ref="AX388:AX451" si="1250">SUM(N388,AB388:AE388,AG388:AI388)</f>
        <v>218</v>
      </c>
    </row>
    <row r="389" spans="1:50">
      <c r="A389">
        <v>232</v>
      </c>
      <c r="B389" t="s">
        <v>1217</v>
      </c>
      <c r="C389" t="s">
        <v>894</v>
      </c>
      <c r="D389">
        <v>0</v>
      </c>
      <c r="E389">
        <v>2530</v>
      </c>
      <c r="F389">
        <v>1367</v>
      </c>
      <c r="G389">
        <v>232</v>
      </c>
      <c r="H389">
        <v>2</v>
      </c>
      <c r="I389">
        <v>2</v>
      </c>
      <c r="J389">
        <v>5</v>
      </c>
      <c r="K389">
        <v>12</v>
      </c>
      <c r="L389">
        <v>4</v>
      </c>
      <c r="M389">
        <v>70</v>
      </c>
      <c r="N389">
        <v>70</v>
      </c>
      <c r="O389">
        <v>10</v>
      </c>
      <c r="P389">
        <v>29</v>
      </c>
      <c r="Q389">
        <v>0</v>
      </c>
      <c r="R389">
        <v>29</v>
      </c>
      <c r="S389">
        <v>40</v>
      </c>
      <c r="T389">
        <v>0</v>
      </c>
      <c r="U389">
        <v>10</v>
      </c>
      <c r="V389">
        <v>40</v>
      </c>
      <c r="W389">
        <v>2</v>
      </c>
      <c r="X389">
        <v>4</v>
      </c>
      <c r="Y389">
        <v>0</v>
      </c>
      <c r="Z389">
        <v>55</v>
      </c>
      <c r="AA389">
        <v>65</v>
      </c>
      <c r="AB389">
        <v>40</v>
      </c>
      <c r="AC389">
        <v>0</v>
      </c>
      <c r="AD389">
        <v>70</v>
      </c>
      <c r="AE389">
        <v>57</v>
      </c>
      <c r="AF389">
        <v>39</v>
      </c>
      <c r="AG389">
        <v>49</v>
      </c>
      <c r="AH389">
        <v>0</v>
      </c>
      <c r="AI389">
        <v>69</v>
      </c>
      <c r="AJ389">
        <v>158</v>
      </c>
      <c r="AK389">
        <v>160</v>
      </c>
      <c r="AL389">
        <v>0</v>
      </c>
      <c r="AM389">
        <v>-1</v>
      </c>
      <c r="AN389">
        <v>20</v>
      </c>
      <c r="AO389">
        <v>13</v>
      </c>
      <c r="AP389">
        <v>10</v>
      </c>
      <c r="AQ389">
        <v>0</v>
      </c>
      <c r="AR389">
        <f t="shared" si="1248"/>
        <v>43</v>
      </c>
      <c r="AS389">
        <f>IF(AND(IFERROR(VLOOKUP(AJ389,Equip!$A:$N,13,FALSE),0)&gt;=5,IFERROR(VLOOKUP(AJ389,Equip!$A:$N,13,FALSE),0)&lt;=9),INT(VLOOKUP(AJ389,Equip!$A:$N,6,FALSE)*SQRT(AN389)),0)</f>
        <v>0</v>
      </c>
      <c r="AT389">
        <f>IF(AND(IFERROR(VLOOKUP(AK389,Equip!$A:$N,13,FALSE),0)&gt;=5,IFERROR(VLOOKUP(AK389,Equip!$A:$N,13,FALSE),0)&lt;=9),INT(VLOOKUP(AK389,Equip!$A:$N,6,FALSE)*SQRT(AO389)),0)</f>
        <v>0</v>
      </c>
      <c r="AU389">
        <f>IF(AND(IFERROR(VLOOKUP(AL389,Equip!$A:$N,13,FALSE),0)&gt;=5,IFERROR(VLOOKUP(AL389,Equip!$A:$N,13,FALSE),0)&lt;=9),INT(VLOOKUP(AL389,Equip!$A:$N,6,FALSE)*SQRT(AP389)),0)</f>
        <v>0</v>
      </c>
      <c r="AV389">
        <f>IF(AND(IFERROR(VLOOKUP(AM389,Equip!$A:$N,13,FALSE),0)&gt;=5,IFERROR(VLOOKUP(AM389,Equip!$A:$N,13,FALSE),0)&lt;=9),INT(VLOOKUP(AM389,Equip!$A:$N,6,FALSE)*SQRT(AQ389)),0)</f>
        <v>0</v>
      </c>
      <c r="AW389">
        <f t="shared" si="1249"/>
        <v>0</v>
      </c>
      <c r="AX389">
        <f t="shared" si="1250"/>
        <v>355</v>
      </c>
    </row>
    <row r="390" spans="1:50">
      <c r="A390">
        <v>232</v>
      </c>
      <c r="B390" t="s">
        <v>1217</v>
      </c>
      <c r="C390" t="s">
        <v>894</v>
      </c>
      <c r="D390">
        <v>1</v>
      </c>
      <c r="E390">
        <f>E389</f>
        <v>2530</v>
      </c>
      <c r="F390">
        <f t="shared" ref="F390" si="1251">F389</f>
        <v>1367</v>
      </c>
      <c r="G390">
        <f t="shared" ref="G390" si="1252">G389</f>
        <v>232</v>
      </c>
      <c r="H390">
        <f t="shared" ref="H390" si="1253">H389</f>
        <v>2</v>
      </c>
      <c r="I390">
        <f t="shared" ref="I390" si="1254">I389</f>
        <v>2</v>
      </c>
      <c r="J390">
        <f t="shared" ref="J390" si="1255">J389</f>
        <v>5</v>
      </c>
      <c r="K390">
        <v>12</v>
      </c>
      <c r="L390">
        <v>4</v>
      </c>
      <c r="M390">
        <v>78</v>
      </c>
      <c r="N390">
        <v>78</v>
      </c>
      <c r="O390">
        <v>10</v>
      </c>
      <c r="P390">
        <v>29</v>
      </c>
      <c r="Q390">
        <v>0</v>
      </c>
      <c r="R390">
        <v>29</v>
      </c>
      <c r="S390">
        <v>40</v>
      </c>
      <c r="T390">
        <v>0</v>
      </c>
      <c r="U390">
        <f t="shared" ref="U390" si="1256">U389</f>
        <v>10</v>
      </c>
      <c r="V390">
        <v>40</v>
      </c>
      <c r="W390">
        <f t="shared" ref="W390" si="1257">W389</f>
        <v>2</v>
      </c>
      <c r="X390">
        <v>7</v>
      </c>
      <c r="Y390">
        <f t="shared" ref="Y390" si="1258">Y389</f>
        <v>0</v>
      </c>
      <c r="Z390">
        <v>70</v>
      </c>
      <c r="AA390">
        <v>80</v>
      </c>
      <c r="AB390">
        <v>50</v>
      </c>
      <c r="AC390">
        <v>0</v>
      </c>
      <c r="AD390">
        <v>80</v>
      </c>
      <c r="AE390">
        <v>80</v>
      </c>
      <c r="AF390">
        <v>47</v>
      </c>
      <c r="AG390">
        <v>69</v>
      </c>
      <c r="AH390">
        <v>0</v>
      </c>
      <c r="AI390">
        <v>74</v>
      </c>
      <c r="AJ390">
        <v>159</v>
      </c>
      <c r="AK390">
        <v>64</v>
      </c>
      <c r="AL390">
        <v>160</v>
      </c>
      <c r="AM390">
        <v>0</v>
      </c>
      <c r="AN390">
        <v>30</v>
      </c>
      <c r="AO390">
        <v>13</v>
      </c>
      <c r="AP390">
        <v>10</v>
      </c>
      <c r="AQ390">
        <v>3</v>
      </c>
      <c r="AR390">
        <f t="shared" si="1248"/>
        <v>56</v>
      </c>
      <c r="AS390">
        <f>IF(AND(IFERROR(VLOOKUP(AJ390,Equip!$A:$N,13,FALSE),0)&gt;=5,IFERROR(VLOOKUP(AJ390,Equip!$A:$N,13,FALSE),0)&lt;=9),INT(VLOOKUP(AJ390,Equip!$A:$N,6,FALSE)*SQRT(AN390)),0)</f>
        <v>0</v>
      </c>
      <c r="AT390">
        <f>IF(AND(IFERROR(VLOOKUP(AK390,Equip!$A:$N,13,FALSE),0)&gt;=5,IFERROR(VLOOKUP(AK390,Equip!$A:$N,13,FALSE),0)&lt;=9),INT(VLOOKUP(AK390,Equip!$A:$N,6,FALSE)*SQRT(AO390)),0)</f>
        <v>0</v>
      </c>
      <c r="AU390">
        <f>IF(AND(IFERROR(VLOOKUP(AL390,Equip!$A:$N,13,FALSE),0)&gt;=5,IFERROR(VLOOKUP(AL390,Equip!$A:$N,13,FALSE),0)&lt;=9),INT(VLOOKUP(AL390,Equip!$A:$N,6,FALSE)*SQRT(AP390)),0)</f>
        <v>0</v>
      </c>
      <c r="AV390">
        <f>IF(AND(IFERROR(VLOOKUP(AM390,Equip!$A:$N,13,FALSE),0)&gt;=5,IFERROR(VLOOKUP(AM390,Equip!$A:$N,13,FALSE),0)&lt;=9),INT(VLOOKUP(AM390,Equip!$A:$N,6,FALSE)*SQRT(AQ390)),0)</f>
        <v>0</v>
      </c>
      <c r="AW390">
        <f t="shared" si="1249"/>
        <v>0</v>
      </c>
      <c r="AX390">
        <f t="shared" si="1250"/>
        <v>431</v>
      </c>
    </row>
    <row r="391" spans="1:50">
      <c r="A391">
        <v>233</v>
      </c>
      <c r="B391" t="s">
        <v>895</v>
      </c>
      <c r="C391" t="s">
        <v>895</v>
      </c>
      <c r="D391">
        <v>0</v>
      </c>
      <c r="E391">
        <v>2533</v>
      </c>
      <c r="F391">
        <v>1373</v>
      </c>
      <c r="G391">
        <v>233</v>
      </c>
      <c r="H391">
        <v>2</v>
      </c>
      <c r="I391">
        <v>6</v>
      </c>
      <c r="J391">
        <v>6</v>
      </c>
      <c r="K391">
        <v>12</v>
      </c>
      <c r="L391">
        <v>4</v>
      </c>
      <c r="M391">
        <v>83</v>
      </c>
      <c r="N391">
        <v>83</v>
      </c>
      <c r="O391">
        <v>30</v>
      </c>
      <c r="P391">
        <v>40</v>
      </c>
      <c r="Q391">
        <v>0</v>
      </c>
      <c r="R391">
        <v>21</v>
      </c>
      <c r="S391">
        <v>36</v>
      </c>
      <c r="T391">
        <v>0</v>
      </c>
      <c r="U391">
        <v>10</v>
      </c>
      <c r="V391">
        <v>40</v>
      </c>
      <c r="W391">
        <v>2</v>
      </c>
      <c r="X391">
        <v>25</v>
      </c>
      <c r="Y391">
        <v>0</v>
      </c>
      <c r="Z391">
        <v>65</v>
      </c>
      <c r="AA391">
        <v>70</v>
      </c>
      <c r="AB391">
        <v>45</v>
      </c>
      <c r="AC391">
        <v>0</v>
      </c>
      <c r="AD391">
        <v>73</v>
      </c>
      <c r="AE391">
        <v>63</v>
      </c>
      <c r="AF391">
        <v>75</v>
      </c>
      <c r="AG391">
        <v>42</v>
      </c>
      <c r="AH391">
        <v>0</v>
      </c>
      <c r="AI391">
        <v>68</v>
      </c>
      <c r="AJ391">
        <v>197</v>
      </c>
      <c r="AK391">
        <v>196</v>
      </c>
      <c r="AL391">
        <v>0</v>
      </c>
      <c r="AM391">
        <v>0</v>
      </c>
      <c r="AN391">
        <v>27</v>
      </c>
      <c r="AO391">
        <v>19</v>
      </c>
      <c r="AP391">
        <v>19</v>
      </c>
      <c r="AQ391">
        <v>15</v>
      </c>
      <c r="AR391">
        <f t="shared" si="1248"/>
        <v>80</v>
      </c>
      <c r="AS391">
        <f>IF(AND(IFERROR(VLOOKUP(AJ391,Equip!$A:$N,13,FALSE),0)&gt;=5,IFERROR(VLOOKUP(AJ391,Equip!$A:$N,13,FALSE),0)&lt;=9),INT(VLOOKUP(AJ391,Equip!$A:$N,6,FALSE)*SQRT(AN391)),0)</f>
        <v>0</v>
      </c>
      <c r="AT391">
        <f>IF(AND(IFERROR(VLOOKUP(AK391,Equip!$A:$N,13,FALSE),0)&gt;=5,IFERROR(VLOOKUP(AK391,Equip!$A:$N,13,FALSE),0)&lt;=9),INT(VLOOKUP(AK391,Equip!$A:$N,6,FALSE)*SQRT(AO391)),0)</f>
        <v>0</v>
      </c>
      <c r="AU391">
        <f>IF(AND(IFERROR(VLOOKUP(AL391,Equip!$A:$N,13,FALSE),0)&gt;=5,IFERROR(VLOOKUP(AL391,Equip!$A:$N,13,FALSE),0)&lt;=9),INT(VLOOKUP(AL391,Equip!$A:$N,6,FALSE)*SQRT(AP391)),0)</f>
        <v>0</v>
      </c>
      <c r="AV391">
        <f>IF(AND(IFERROR(VLOOKUP(AM391,Equip!$A:$N,13,FALSE),0)&gt;=5,IFERROR(VLOOKUP(AM391,Equip!$A:$N,13,FALSE),0)&lt;=9),INT(VLOOKUP(AM391,Equip!$A:$N,6,FALSE)*SQRT(AQ391)),0)</f>
        <v>0</v>
      </c>
      <c r="AW391">
        <f t="shared" si="1249"/>
        <v>0</v>
      </c>
      <c r="AX391">
        <f t="shared" si="1250"/>
        <v>374</v>
      </c>
    </row>
    <row r="392" spans="1:50">
      <c r="A392">
        <v>233</v>
      </c>
      <c r="B392" t="s">
        <v>895</v>
      </c>
      <c r="C392" t="s">
        <v>895</v>
      </c>
      <c r="D392">
        <v>1</v>
      </c>
      <c r="E392">
        <f>E391</f>
        <v>2533</v>
      </c>
      <c r="F392">
        <f t="shared" ref="F392" si="1259">F391</f>
        <v>1373</v>
      </c>
      <c r="G392">
        <f t="shared" ref="G392" si="1260">G391</f>
        <v>233</v>
      </c>
      <c r="H392">
        <f t="shared" ref="H392" si="1261">H391</f>
        <v>2</v>
      </c>
      <c r="I392">
        <f t="shared" ref="I392" si="1262">I391</f>
        <v>6</v>
      </c>
      <c r="J392">
        <f t="shared" ref="J392" si="1263">J391</f>
        <v>6</v>
      </c>
      <c r="K392">
        <v>12</v>
      </c>
      <c r="L392">
        <v>4</v>
      </c>
      <c r="M392">
        <v>88</v>
      </c>
      <c r="N392">
        <v>88</v>
      </c>
      <c r="O392">
        <v>0</v>
      </c>
      <c r="P392">
        <v>48</v>
      </c>
      <c r="Q392">
        <v>0</v>
      </c>
      <c r="R392">
        <v>23</v>
      </c>
      <c r="S392">
        <v>52</v>
      </c>
      <c r="T392">
        <v>0</v>
      </c>
      <c r="U392">
        <f t="shared" ref="U392" si="1264">U391</f>
        <v>10</v>
      </c>
      <c r="V392">
        <v>48</v>
      </c>
      <c r="W392">
        <v>1</v>
      </c>
      <c r="X392">
        <v>35</v>
      </c>
      <c r="Y392">
        <f t="shared" ref="Y392" si="1265">Y391</f>
        <v>0</v>
      </c>
      <c r="Z392">
        <v>85</v>
      </c>
      <c r="AA392">
        <v>90</v>
      </c>
      <c r="AB392">
        <v>53</v>
      </c>
      <c r="AC392">
        <v>0</v>
      </c>
      <c r="AD392">
        <v>93</v>
      </c>
      <c r="AE392">
        <v>83</v>
      </c>
      <c r="AF392">
        <v>85</v>
      </c>
      <c r="AG392">
        <v>53</v>
      </c>
      <c r="AH392">
        <v>0</v>
      </c>
      <c r="AI392">
        <v>80</v>
      </c>
      <c r="AJ392">
        <v>198</v>
      </c>
      <c r="AK392">
        <v>195</v>
      </c>
      <c r="AL392">
        <v>0</v>
      </c>
      <c r="AM392">
        <v>0</v>
      </c>
      <c r="AN392">
        <v>36</v>
      </c>
      <c r="AO392">
        <v>18</v>
      </c>
      <c r="AP392">
        <v>18</v>
      </c>
      <c r="AQ392">
        <v>18</v>
      </c>
      <c r="AR392">
        <f t="shared" si="1248"/>
        <v>90</v>
      </c>
      <c r="AS392">
        <f>IF(AND(IFERROR(VLOOKUP(AJ392,Equip!$A:$N,13,FALSE),0)&gt;=5,IFERROR(VLOOKUP(AJ392,Equip!$A:$N,13,FALSE),0)&lt;=9),INT(VLOOKUP(AJ392,Equip!$A:$N,6,FALSE)*SQRT(AN392)),0)</f>
        <v>0</v>
      </c>
      <c r="AT392">
        <f>IF(AND(IFERROR(VLOOKUP(AK392,Equip!$A:$N,13,FALSE),0)&gt;=5,IFERROR(VLOOKUP(AK392,Equip!$A:$N,13,FALSE),0)&lt;=9),INT(VLOOKUP(AK392,Equip!$A:$N,6,FALSE)*SQRT(AO392)),0)</f>
        <v>0</v>
      </c>
      <c r="AU392">
        <f>IF(AND(IFERROR(VLOOKUP(AL392,Equip!$A:$N,13,FALSE),0)&gt;=5,IFERROR(VLOOKUP(AL392,Equip!$A:$N,13,FALSE),0)&lt;=9),INT(VLOOKUP(AL392,Equip!$A:$N,6,FALSE)*SQRT(AP392)),0)</f>
        <v>0</v>
      </c>
      <c r="AV392">
        <f>IF(AND(IFERROR(VLOOKUP(AM392,Equip!$A:$N,13,FALSE),0)&gt;=5,IFERROR(VLOOKUP(AM392,Equip!$A:$N,13,FALSE),0)&lt;=9),INT(VLOOKUP(AM392,Equip!$A:$N,6,FALSE)*SQRT(AQ392)),0)</f>
        <v>0</v>
      </c>
      <c r="AW392">
        <f t="shared" si="1249"/>
        <v>0</v>
      </c>
      <c r="AX392">
        <f t="shared" si="1250"/>
        <v>450</v>
      </c>
    </row>
    <row r="393" spans="1:50">
      <c r="A393">
        <v>239</v>
      </c>
      <c r="B393" t="s">
        <v>896</v>
      </c>
      <c r="C393" t="s">
        <v>896</v>
      </c>
      <c r="D393">
        <v>0</v>
      </c>
      <c r="E393">
        <v>2469</v>
      </c>
      <c r="F393">
        <v>1330</v>
      </c>
      <c r="G393">
        <v>239</v>
      </c>
      <c r="H393">
        <v>3</v>
      </c>
      <c r="I393">
        <v>5</v>
      </c>
      <c r="J393">
        <v>1</v>
      </c>
      <c r="K393">
        <v>8</v>
      </c>
      <c r="L393">
        <v>9</v>
      </c>
      <c r="M393">
        <v>72</v>
      </c>
      <c r="N393">
        <v>72</v>
      </c>
      <c r="O393">
        <v>72</v>
      </c>
      <c r="P393">
        <v>72</v>
      </c>
      <c r="Q393">
        <v>0</v>
      </c>
      <c r="R393">
        <v>26</v>
      </c>
      <c r="S393">
        <v>38</v>
      </c>
      <c r="T393">
        <v>0</v>
      </c>
      <c r="U393">
        <v>5</v>
      </c>
      <c r="V393">
        <v>14</v>
      </c>
      <c r="W393">
        <v>3</v>
      </c>
      <c r="X393">
        <v>55</v>
      </c>
      <c r="Y393">
        <v>0</v>
      </c>
      <c r="Z393">
        <v>90</v>
      </c>
      <c r="AA393">
        <v>110</v>
      </c>
      <c r="AB393">
        <v>92</v>
      </c>
      <c r="AC393">
        <v>0</v>
      </c>
      <c r="AD393">
        <v>88</v>
      </c>
      <c r="AE393">
        <v>91</v>
      </c>
      <c r="AF393">
        <v>89</v>
      </c>
      <c r="AG393">
        <v>54</v>
      </c>
      <c r="AH393">
        <v>0</v>
      </c>
      <c r="AI393">
        <v>48</v>
      </c>
      <c r="AJ393">
        <v>190</v>
      </c>
      <c r="AK393">
        <v>0</v>
      </c>
      <c r="AL393">
        <v>0</v>
      </c>
      <c r="AM393">
        <v>0</v>
      </c>
      <c r="AN393">
        <v>3</v>
      </c>
      <c r="AO393">
        <v>3</v>
      </c>
      <c r="AP393">
        <v>3</v>
      </c>
      <c r="AQ393">
        <v>3</v>
      </c>
      <c r="AR393">
        <f t="shared" si="1248"/>
        <v>12</v>
      </c>
      <c r="AS393">
        <f>IF(AND(IFERROR(VLOOKUP(AJ393,Equip!$A:$N,13,FALSE),0)&gt;=5,IFERROR(VLOOKUP(AJ393,Equip!$A:$N,13,FALSE),0)&lt;=9),INT(VLOOKUP(AJ393,Equip!$A:$N,6,FALSE)*SQRT(AN393)),0)</f>
        <v>0</v>
      </c>
      <c r="AT393">
        <f>IF(AND(IFERROR(VLOOKUP(AK393,Equip!$A:$N,13,FALSE),0)&gt;=5,IFERROR(VLOOKUP(AK393,Equip!$A:$N,13,FALSE),0)&lt;=9),INT(VLOOKUP(AK393,Equip!$A:$N,6,FALSE)*SQRT(AO393)),0)</f>
        <v>0</v>
      </c>
      <c r="AU393">
        <f>IF(AND(IFERROR(VLOOKUP(AL393,Equip!$A:$N,13,FALSE),0)&gt;=5,IFERROR(VLOOKUP(AL393,Equip!$A:$N,13,FALSE),0)&lt;=9),INT(VLOOKUP(AL393,Equip!$A:$N,6,FALSE)*SQRT(AP393)),0)</f>
        <v>0</v>
      </c>
      <c r="AV393">
        <f>IF(AND(IFERROR(VLOOKUP(AM393,Equip!$A:$N,13,FALSE),0)&gt;=5,IFERROR(VLOOKUP(AM393,Equip!$A:$N,13,FALSE),0)&lt;=9),INT(VLOOKUP(AM393,Equip!$A:$N,6,FALSE)*SQRT(AQ393)),0)</f>
        <v>0</v>
      </c>
      <c r="AW393">
        <f t="shared" si="1249"/>
        <v>0</v>
      </c>
      <c r="AX393">
        <f t="shared" si="1250"/>
        <v>445</v>
      </c>
    </row>
    <row r="394" spans="1:50">
      <c r="A394">
        <v>239</v>
      </c>
      <c r="B394" t="s">
        <v>896</v>
      </c>
      <c r="C394" t="s">
        <v>896</v>
      </c>
      <c r="D394">
        <v>1</v>
      </c>
      <c r="E394">
        <f>E393</f>
        <v>2469</v>
      </c>
      <c r="F394">
        <f t="shared" ref="F394" si="1266">F393</f>
        <v>1330</v>
      </c>
      <c r="G394">
        <f t="shared" ref="G394" si="1267">G393</f>
        <v>239</v>
      </c>
      <c r="H394">
        <f t="shared" ref="H394" si="1268">H393</f>
        <v>3</v>
      </c>
      <c r="I394">
        <f t="shared" ref="I394" si="1269">I393</f>
        <v>5</v>
      </c>
      <c r="J394">
        <f t="shared" ref="J394" si="1270">J393</f>
        <v>1</v>
      </c>
      <c r="K394">
        <v>8</v>
      </c>
      <c r="L394">
        <v>9</v>
      </c>
      <c r="M394">
        <v>85</v>
      </c>
      <c r="N394">
        <v>85</v>
      </c>
      <c r="O394">
        <v>78</v>
      </c>
      <c r="P394">
        <v>76</v>
      </c>
      <c r="Q394">
        <v>0</v>
      </c>
      <c r="R394">
        <v>56</v>
      </c>
      <c r="S394">
        <v>47</v>
      </c>
      <c r="T394">
        <v>0</v>
      </c>
      <c r="U394">
        <f t="shared" ref="U394" si="1271">U393</f>
        <v>5</v>
      </c>
      <c r="V394">
        <v>24</v>
      </c>
      <c r="W394">
        <v>4</v>
      </c>
      <c r="X394">
        <v>70</v>
      </c>
      <c r="Y394">
        <f t="shared" ref="Y394" si="1272">Y393</f>
        <v>0</v>
      </c>
      <c r="Z394">
        <v>95</v>
      </c>
      <c r="AA394">
        <v>115</v>
      </c>
      <c r="AB394">
        <v>106</v>
      </c>
      <c r="AC394">
        <v>0</v>
      </c>
      <c r="AD394">
        <v>101</v>
      </c>
      <c r="AE394">
        <v>95</v>
      </c>
      <c r="AF394">
        <v>109</v>
      </c>
      <c r="AG394">
        <v>66</v>
      </c>
      <c r="AH394">
        <v>0</v>
      </c>
      <c r="AI394">
        <v>58</v>
      </c>
      <c r="AJ394">
        <v>190</v>
      </c>
      <c r="AK394">
        <v>191</v>
      </c>
      <c r="AL394">
        <v>0</v>
      </c>
      <c r="AM394">
        <v>0</v>
      </c>
      <c r="AN394">
        <v>3</v>
      </c>
      <c r="AO394">
        <v>3</v>
      </c>
      <c r="AP394">
        <v>3</v>
      </c>
      <c r="AQ394">
        <v>3</v>
      </c>
      <c r="AR394">
        <f t="shared" si="1248"/>
        <v>12</v>
      </c>
      <c r="AS394">
        <f>IF(AND(IFERROR(VLOOKUP(AJ394,Equip!$A:$N,13,FALSE),0)&gt;=5,IFERROR(VLOOKUP(AJ394,Equip!$A:$N,13,FALSE),0)&lt;=9),INT(VLOOKUP(AJ394,Equip!$A:$N,6,FALSE)*SQRT(AN394)),0)</f>
        <v>0</v>
      </c>
      <c r="AT394">
        <f>IF(AND(IFERROR(VLOOKUP(AK394,Equip!$A:$N,13,FALSE),0)&gt;=5,IFERROR(VLOOKUP(AK394,Equip!$A:$N,13,FALSE),0)&lt;=9),INT(VLOOKUP(AK394,Equip!$A:$N,6,FALSE)*SQRT(AO394)),0)</f>
        <v>0</v>
      </c>
      <c r="AU394">
        <f>IF(AND(IFERROR(VLOOKUP(AL394,Equip!$A:$N,13,FALSE),0)&gt;=5,IFERROR(VLOOKUP(AL394,Equip!$A:$N,13,FALSE),0)&lt;=9),INT(VLOOKUP(AL394,Equip!$A:$N,6,FALSE)*SQRT(AP394)),0)</f>
        <v>0</v>
      </c>
      <c r="AV394">
        <f>IF(AND(IFERROR(VLOOKUP(AM394,Equip!$A:$N,13,FALSE),0)&gt;=5,IFERROR(VLOOKUP(AM394,Equip!$A:$N,13,FALSE),0)&lt;=9),INT(VLOOKUP(AM394,Equip!$A:$N,6,FALSE)*SQRT(AQ394)),0)</f>
        <v>0</v>
      </c>
      <c r="AW394">
        <f t="shared" si="1249"/>
        <v>0</v>
      </c>
      <c r="AX394">
        <f t="shared" si="1250"/>
        <v>511</v>
      </c>
    </row>
    <row r="395" spans="1:50">
      <c r="A395">
        <v>240</v>
      </c>
      <c r="B395" t="s">
        <v>897</v>
      </c>
      <c r="C395" t="s">
        <v>897</v>
      </c>
      <c r="D395">
        <v>0</v>
      </c>
      <c r="E395">
        <v>2870</v>
      </c>
      <c r="F395">
        <v>1540</v>
      </c>
      <c r="G395">
        <v>240</v>
      </c>
      <c r="H395">
        <v>2</v>
      </c>
      <c r="I395">
        <v>6</v>
      </c>
      <c r="J395">
        <v>11</v>
      </c>
      <c r="K395">
        <v>8</v>
      </c>
      <c r="L395">
        <v>12</v>
      </c>
      <c r="M395">
        <v>84</v>
      </c>
      <c r="N395">
        <v>84</v>
      </c>
      <c r="O395">
        <v>85</v>
      </c>
      <c r="P395">
        <v>79</v>
      </c>
      <c r="Q395">
        <v>0</v>
      </c>
      <c r="R395">
        <v>34</v>
      </c>
      <c r="S395">
        <v>70</v>
      </c>
      <c r="T395">
        <v>0</v>
      </c>
      <c r="U395">
        <v>10</v>
      </c>
      <c r="V395">
        <v>24</v>
      </c>
      <c r="W395">
        <v>3</v>
      </c>
      <c r="X395">
        <v>35</v>
      </c>
      <c r="Y395">
        <v>0</v>
      </c>
      <c r="Z395">
        <v>200</v>
      </c>
      <c r="AA395">
        <v>250</v>
      </c>
      <c r="AB395">
        <v>105</v>
      </c>
      <c r="AC395">
        <v>0</v>
      </c>
      <c r="AD395">
        <v>96</v>
      </c>
      <c r="AE395">
        <v>95</v>
      </c>
      <c r="AF395">
        <v>89</v>
      </c>
      <c r="AG395">
        <v>67</v>
      </c>
      <c r="AH395">
        <v>0</v>
      </c>
      <c r="AI395">
        <v>64</v>
      </c>
      <c r="AJ395">
        <v>161</v>
      </c>
      <c r="AK395">
        <v>172</v>
      </c>
      <c r="AL395">
        <v>0</v>
      </c>
      <c r="AM395">
        <v>0</v>
      </c>
      <c r="AN395">
        <v>4</v>
      </c>
      <c r="AO395">
        <v>4</v>
      </c>
      <c r="AP395">
        <v>4</v>
      </c>
      <c r="AQ395">
        <v>4</v>
      </c>
      <c r="AR395">
        <f t="shared" si="1248"/>
        <v>16</v>
      </c>
      <c r="AS395">
        <f>IF(AND(IFERROR(VLOOKUP(AJ395,Equip!$A:$N,13,FALSE),0)&gt;=5,IFERROR(VLOOKUP(AJ395,Equip!$A:$N,13,FALSE),0)&lt;=9),INT(VLOOKUP(AJ395,Equip!$A:$N,6,FALSE)*SQRT(AN395)),0)</f>
        <v>0</v>
      </c>
      <c r="AT395">
        <f>IF(AND(IFERROR(VLOOKUP(AK395,Equip!$A:$N,13,FALSE),0)&gt;=5,IFERROR(VLOOKUP(AK395,Equip!$A:$N,13,FALSE),0)&lt;=9),INT(VLOOKUP(AK395,Equip!$A:$N,6,FALSE)*SQRT(AO395)),0)</f>
        <v>0</v>
      </c>
      <c r="AU395">
        <f>IF(AND(IFERROR(VLOOKUP(AL395,Equip!$A:$N,13,FALSE),0)&gt;=5,IFERROR(VLOOKUP(AL395,Equip!$A:$N,13,FALSE),0)&lt;=9),INT(VLOOKUP(AL395,Equip!$A:$N,6,FALSE)*SQRT(AP395)),0)</f>
        <v>0</v>
      </c>
      <c r="AV395">
        <f>IF(AND(IFERROR(VLOOKUP(AM395,Equip!$A:$N,13,FALSE),0)&gt;=5,IFERROR(VLOOKUP(AM395,Equip!$A:$N,13,FALSE),0)&lt;=9),INT(VLOOKUP(AM395,Equip!$A:$N,6,FALSE)*SQRT(AQ395)),0)</f>
        <v>0</v>
      </c>
      <c r="AW395">
        <f t="shared" si="1249"/>
        <v>0</v>
      </c>
      <c r="AX395">
        <f t="shared" si="1250"/>
        <v>511</v>
      </c>
    </row>
    <row r="396" spans="1:50">
      <c r="A396">
        <v>240</v>
      </c>
      <c r="B396" t="s">
        <v>897</v>
      </c>
      <c r="C396" t="s">
        <v>897</v>
      </c>
      <c r="D396">
        <v>1</v>
      </c>
      <c r="E396">
        <f>E395</f>
        <v>2870</v>
      </c>
      <c r="F396">
        <f t="shared" ref="F396" si="1273">F395</f>
        <v>1540</v>
      </c>
      <c r="G396">
        <f t="shared" ref="G396" si="1274">G395</f>
        <v>240</v>
      </c>
      <c r="H396">
        <f t="shared" ref="H396" si="1275">H395</f>
        <v>2</v>
      </c>
      <c r="I396">
        <f t="shared" ref="I396" si="1276">I395</f>
        <v>6</v>
      </c>
      <c r="J396">
        <f t="shared" ref="J396" si="1277">J395</f>
        <v>11</v>
      </c>
      <c r="K396">
        <v>8</v>
      </c>
      <c r="L396">
        <v>12</v>
      </c>
      <c r="M396">
        <v>92</v>
      </c>
      <c r="N396">
        <v>92</v>
      </c>
      <c r="O396">
        <v>96</v>
      </c>
      <c r="P396">
        <v>97</v>
      </c>
      <c r="Q396">
        <v>0</v>
      </c>
      <c r="R396">
        <v>53</v>
      </c>
      <c r="S396">
        <v>98</v>
      </c>
      <c r="T396">
        <v>0</v>
      </c>
      <c r="U396">
        <f t="shared" ref="U396" si="1278">U395</f>
        <v>10</v>
      </c>
      <c r="V396">
        <v>50</v>
      </c>
      <c r="W396">
        <f t="shared" ref="W396" si="1279">W395</f>
        <v>3</v>
      </c>
      <c r="X396">
        <v>40</v>
      </c>
      <c r="Y396">
        <f t="shared" ref="Y396" si="1280">Y395</f>
        <v>0</v>
      </c>
      <c r="Z396">
        <v>200</v>
      </c>
      <c r="AA396">
        <v>275</v>
      </c>
      <c r="AB396">
        <v>115</v>
      </c>
      <c r="AC396">
        <v>0</v>
      </c>
      <c r="AD396">
        <v>120</v>
      </c>
      <c r="AE396">
        <v>107</v>
      </c>
      <c r="AF396">
        <v>99</v>
      </c>
      <c r="AG396">
        <v>70</v>
      </c>
      <c r="AH396">
        <v>0</v>
      </c>
      <c r="AI396">
        <v>70</v>
      </c>
      <c r="AJ396">
        <v>161</v>
      </c>
      <c r="AK396">
        <v>172</v>
      </c>
      <c r="AL396">
        <v>173</v>
      </c>
      <c r="AM396">
        <v>171</v>
      </c>
      <c r="AN396">
        <v>4</v>
      </c>
      <c r="AO396">
        <v>4</v>
      </c>
      <c r="AP396">
        <v>4</v>
      </c>
      <c r="AQ396">
        <v>4</v>
      </c>
      <c r="AR396">
        <f t="shared" si="1248"/>
        <v>16</v>
      </c>
      <c r="AS396">
        <f>IF(AND(IFERROR(VLOOKUP(AJ396,Equip!$A:$N,13,FALSE),0)&gt;=5,IFERROR(VLOOKUP(AJ396,Equip!$A:$N,13,FALSE),0)&lt;=9),INT(VLOOKUP(AJ396,Equip!$A:$N,6,FALSE)*SQRT(AN396)),0)</f>
        <v>0</v>
      </c>
      <c r="AT396">
        <f>IF(AND(IFERROR(VLOOKUP(AK396,Equip!$A:$N,13,FALSE),0)&gt;=5,IFERROR(VLOOKUP(AK396,Equip!$A:$N,13,FALSE),0)&lt;=9),INT(VLOOKUP(AK396,Equip!$A:$N,6,FALSE)*SQRT(AO396)),0)</f>
        <v>0</v>
      </c>
      <c r="AU396">
        <f>IF(AND(IFERROR(VLOOKUP(AL396,Equip!$A:$N,13,FALSE),0)&gt;=5,IFERROR(VLOOKUP(AL396,Equip!$A:$N,13,FALSE),0)&lt;=9),INT(VLOOKUP(AL396,Equip!$A:$N,6,FALSE)*SQRT(AP396)),0)</f>
        <v>0</v>
      </c>
      <c r="AV396">
        <f>IF(AND(IFERROR(VLOOKUP(AM396,Equip!$A:$N,13,FALSE),0)&gt;=5,IFERROR(VLOOKUP(AM396,Equip!$A:$N,13,FALSE),0)&lt;=9),INT(VLOOKUP(AM396,Equip!$A:$N,6,FALSE)*SQRT(AQ396)),0)</f>
        <v>0</v>
      </c>
      <c r="AW396">
        <f t="shared" si="1249"/>
        <v>0</v>
      </c>
      <c r="AX396">
        <f t="shared" si="1250"/>
        <v>574</v>
      </c>
    </row>
    <row r="397" spans="1:50">
      <c r="A397">
        <v>241</v>
      </c>
      <c r="B397" t="s">
        <v>898</v>
      </c>
      <c r="C397" t="s">
        <v>898</v>
      </c>
      <c r="D397">
        <v>0</v>
      </c>
      <c r="E397">
        <v>2850</v>
      </c>
      <c r="F397">
        <v>1530</v>
      </c>
      <c r="G397">
        <v>241</v>
      </c>
      <c r="H397">
        <v>2</v>
      </c>
      <c r="I397">
        <v>3</v>
      </c>
      <c r="J397">
        <v>6</v>
      </c>
      <c r="K397">
        <v>8</v>
      </c>
      <c r="L397">
        <v>8</v>
      </c>
      <c r="M397">
        <v>88</v>
      </c>
      <c r="N397">
        <v>88</v>
      </c>
      <c r="O397">
        <v>78</v>
      </c>
      <c r="P397">
        <v>72</v>
      </c>
      <c r="Q397">
        <v>0</v>
      </c>
      <c r="R397">
        <v>27</v>
      </c>
      <c r="S397">
        <v>40</v>
      </c>
      <c r="T397">
        <v>0</v>
      </c>
      <c r="U397">
        <v>10</v>
      </c>
      <c r="V397">
        <v>15</v>
      </c>
      <c r="W397">
        <v>4</v>
      </c>
      <c r="X397">
        <v>20</v>
      </c>
      <c r="Y397">
        <v>0</v>
      </c>
      <c r="Z397">
        <v>130</v>
      </c>
      <c r="AA397">
        <v>150</v>
      </c>
      <c r="AB397">
        <v>97</v>
      </c>
      <c r="AC397">
        <v>0</v>
      </c>
      <c r="AD397">
        <v>72</v>
      </c>
      <c r="AE397">
        <v>86</v>
      </c>
      <c r="AF397">
        <v>69</v>
      </c>
      <c r="AG397">
        <v>54</v>
      </c>
      <c r="AH397">
        <v>0</v>
      </c>
      <c r="AI397">
        <v>44</v>
      </c>
      <c r="AJ397">
        <v>133</v>
      </c>
      <c r="AK397">
        <v>134</v>
      </c>
      <c r="AL397">
        <v>136</v>
      </c>
      <c r="AM397">
        <v>0</v>
      </c>
      <c r="AN397">
        <v>3</v>
      </c>
      <c r="AO397">
        <v>3</v>
      </c>
      <c r="AP397">
        <v>3</v>
      </c>
      <c r="AQ397">
        <v>3</v>
      </c>
      <c r="AR397">
        <f t="shared" si="1248"/>
        <v>12</v>
      </c>
      <c r="AS397">
        <f>IF(AND(IFERROR(VLOOKUP(AJ397,Equip!$A:$N,13,FALSE),0)&gt;=5,IFERROR(VLOOKUP(AJ397,Equip!$A:$N,13,FALSE),0)&lt;=9),INT(VLOOKUP(AJ397,Equip!$A:$N,6,FALSE)*SQRT(AN397)),0)</f>
        <v>0</v>
      </c>
      <c r="AT397">
        <f>IF(AND(IFERROR(VLOOKUP(AK397,Equip!$A:$N,13,FALSE),0)&gt;=5,IFERROR(VLOOKUP(AK397,Equip!$A:$N,13,FALSE),0)&lt;=9),INT(VLOOKUP(AK397,Equip!$A:$N,6,FALSE)*SQRT(AO397)),0)</f>
        <v>0</v>
      </c>
      <c r="AU397">
        <f>IF(AND(IFERROR(VLOOKUP(AL397,Equip!$A:$N,13,FALSE),0)&gt;=5,IFERROR(VLOOKUP(AL397,Equip!$A:$N,13,FALSE),0)&lt;=9),INT(VLOOKUP(AL397,Equip!$A:$N,6,FALSE)*SQRT(AP397)),0)</f>
        <v>0</v>
      </c>
      <c r="AV397">
        <f>IF(AND(IFERROR(VLOOKUP(AM397,Equip!$A:$N,13,FALSE),0)&gt;=5,IFERROR(VLOOKUP(AM397,Equip!$A:$N,13,FALSE),0)&lt;=9),INT(VLOOKUP(AM397,Equip!$A:$N,6,FALSE)*SQRT(AQ397)),0)</f>
        <v>0</v>
      </c>
      <c r="AW397">
        <f t="shared" si="1249"/>
        <v>0</v>
      </c>
      <c r="AX397">
        <f t="shared" si="1250"/>
        <v>441</v>
      </c>
    </row>
    <row r="398" spans="1:50">
      <c r="A398">
        <v>241</v>
      </c>
      <c r="B398" t="s">
        <v>1386</v>
      </c>
      <c r="C398" t="s">
        <v>1386</v>
      </c>
      <c r="D398">
        <v>1</v>
      </c>
      <c r="E398">
        <f>E397</f>
        <v>2850</v>
      </c>
      <c r="F398">
        <f t="shared" ref="F398" si="1281">F397</f>
        <v>1530</v>
      </c>
      <c r="G398">
        <f t="shared" ref="G398" si="1282">G397</f>
        <v>241</v>
      </c>
      <c r="H398">
        <f t="shared" ref="H398" si="1283">H397</f>
        <v>2</v>
      </c>
      <c r="I398">
        <f t="shared" ref="I398" si="1284">I397</f>
        <v>3</v>
      </c>
      <c r="J398">
        <f t="shared" ref="J398" si="1285">J397</f>
        <v>6</v>
      </c>
      <c r="K398">
        <v>8</v>
      </c>
      <c r="L398">
        <v>8</v>
      </c>
      <c r="M398">
        <v>92</v>
      </c>
      <c r="N398">
        <v>92</v>
      </c>
      <c r="O398">
        <v>81</v>
      </c>
      <c r="P398">
        <v>72</v>
      </c>
      <c r="Q398">
        <v>0</v>
      </c>
      <c r="R398">
        <v>35</v>
      </c>
      <c r="S398">
        <v>40</v>
      </c>
      <c r="T398">
        <v>0</v>
      </c>
      <c r="U398">
        <f t="shared" ref="U398" si="1286">U397</f>
        <v>10</v>
      </c>
      <c r="V398">
        <v>17</v>
      </c>
      <c r="W398">
        <f t="shared" ref="W398" si="1287">W397</f>
        <v>4</v>
      </c>
      <c r="X398">
        <v>30</v>
      </c>
      <c r="Y398">
        <f t="shared" ref="Y398" si="1288">Y397</f>
        <v>0</v>
      </c>
      <c r="Z398">
        <v>140</v>
      </c>
      <c r="AA398">
        <v>170</v>
      </c>
      <c r="AB398">
        <v>102</v>
      </c>
      <c r="AC398">
        <v>0</v>
      </c>
      <c r="AD398">
        <v>90</v>
      </c>
      <c r="AE398">
        <v>92</v>
      </c>
      <c r="AF398">
        <v>79</v>
      </c>
      <c r="AG398">
        <v>76</v>
      </c>
      <c r="AH398">
        <v>0</v>
      </c>
      <c r="AI398">
        <v>52</v>
      </c>
      <c r="AJ398">
        <v>137</v>
      </c>
      <c r="AK398">
        <v>134</v>
      </c>
      <c r="AL398">
        <v>135</v>
      </c>
      <c r="AM398">
        <v>0</v>
      </c>
      <c r="AN398">
        <v>3</v>
      </c>
      <c r="AO398">
        <v>3</v>
      </c>
      <c r="AP398">
        <v>3</v>
      </c>
      <c r="AQ398">
        <v>3</v>
      </c>
      <c r="AR398">
        <f t="shared" si="1248"/>
        <v>12</v>
      </c>
      <c r="AS398">
        <f>IF(AND(IFERROR(VLOOKUP(AJ398,Equip!$A:$N,13,FALSE),0)&gt;=5,IFERROR(VLOOKUP(AJ398,Equip!$A:$N,13,FALSE),0)&lt;=9),INT(VLOOKUP(AJ398,Equip!$A:$N,6,FALSE)*SQRT(AN398)),0)</f>
        <v>0</v>
      </c>
      <c r="AT398">
        <f>IF(AND(IFERROR(VLOOKUP(AK398,Equip!$A:$N,13,FALSE),0)&gt;=5,IFERROR(VLOOKUP(AK398,Equip!$A:$N,13,FALSE),0)&lt;=9),INT(VLOOKUP(AK398,Equip!$A:$N,6,FALSE)*SQRT(AO398)),0)</f>
        <v>0</v>
      </c>
      <c r="AU398">
        <f>IF(AND(IFERROR(VLOOKUP(AL398,Equip!$A:$N,13,FALSE),0)&gt;=5,IFERROR(VLOOKUP(AL398,Equip!$A:$N,13,FALSE),0)&lt;=9),INT(VLOOKUP(AL398,Equip!$A:$N,6,FALSE)*SQRT(AP398)),0)</f>
        <v>0</v>
      </c>
      <c r="AV398">
        <f>IF(AND(IFERROR(VLOOKUP(AM398,Equip!$A:$N,13,FALSE),0)&gt;=5,IFERROR(VLOOKUP(AM398,Equip!$A:$N,13,FALSE),0)&lt;=9),INT(VLOOKUP(AM398,Equip!$A:$N,6,FALSE)*SQRT(AQ398)),0)</f>
        <v>0</v>
      </c>
      <c r="AW398">
        <f t="shared" si="1249"/>
        <v>0</v>
      </c>
      <c r="AX398">
        <f t="shared" si="1250"/>
        <v>504</v>
      </c>
    </row>
    <row r="399" spans="1:50">
      <c r="A399">
        <v>242</v>
      </c>
      <c r="B399" t="s">
        <v>899</v>
      </c>
      <c r="C399" t="s">
        <v>899</v>
      </c>
      <c r="D399">
        <v>0</v>
      </c>
      <c r="E399">
        <v>2850</v>
      </c>
      <c r="F399">
        <v>1530</v>
      </c>
      <c r="G399">
        <v>242</v>
      </c>
      <c r="H399">
        <v>2</v>
      </c>
      <c r="I399">
        <v>3</v>
      </c>
      <c r="J399">
        <v>7</v>
      </c>
      <c r="K399">
        <v>8</v>
      </c>
      <c r="L399">
        <v>8</v>
      </c>
      <c r="M399">
        <v>88</v>
      </c>
      <c r="N399">
        <v>88</v>
      </c>
      <c r="O399">
        <v>75</v>
      </c>
      <c r="P399">
        <v>71</v>
      </c>
      <c r="Q399">
        <v>0</v>
      </c>
      <c r="R399">
        <v>27</v>
      </c>
      <c r="S399">
        <v>43</v>
      </c>
      <c r="T399">
        <v>0</v>
      </c>
      <c r="U399">
        <v>10</v>
      </c>
      <c r="V399">
        <v>16</v>
      </c>
      <c r="W399">
        <v>4</v>
      </c>
      <c r="X399">
        <v>6</v>
      </c>
      <c r="Y399">
        <v>0</v>
      </c>
      <c r="Z399">
        <v>130</v>
      </c>
      <c r="AA399">
        <v>150</v>
      </c>
      <c r="AB399">
        <v>98</v>
      </c>
      <c r="AC399">
        <v>0</v>
      </c>
      <c r="AD399">
        <v>81</v>
      </c>
      <c r="AE399">
        <v>85</v>
      </c>
      <c r="AF399">
        <v>39</v>
      </c>
      <c r="AG399">
        <v>52</v>
      </c>
      <c r="AH399">
        <v>0</v>
      </c>
      <c r="AI399">
        <v>44</v>
      </c>
      <c r="AJ399">
        <v>133</v>
      </c>
      <c r="AK399">
        <v>134</v>
      </c>
      <c r="AL399">
        <v>136</v>
      </c>
      <c r="AM399">
        <v>0</v>
      </c>
      <c r="AN399">
        <v>3</v>
      </c>
      <c r="AO399">
        <v>3</v>
      </c>
      <c r="AP399">
        <v>3</v>
      </c>
      <c r="AQ399">
        <v>3</v>
      </c>
      <c r="AR399">
        <f t="shared" si="1248"/>
        <v>12</v>
      </c>
      <c r="AS399">
        <f>IF(AND(IFERROR(VLOOKUP(AJ399,Equip!$A:$N,13,FALSE),0)&gt;=5,IFERROR(VLOOKUP(AJ399,Equip!$A:$N,13,FALSE),0)&lt;=9),INT(VLOOKUP(AJ399,Equip!$A:$N,6,FALSE)*SQRT(AN399)),0)</f>
        <v>0</v>
      </c>
      <c r="AT399">
        <f>IF(AND(IFERROR(VLOOKUP(AK399,Equip!$A:$N,13,FALSE),0)&gt;=5,IFERROR(VLOOKUP(AK399,Equip!$A:$N,13,FALSE),0)&lt;=9),INT(VLOOKUP(AK399,Equip!$A:$N,6,FALSE)*SQRT(AO399)),0)</f>
        <v>0</v>
      </c>
      <c r="AU399">
        <f>IF(AND(IFERROR(VLOOKUP(AL399,Equip!$A:$N,13,FALSE),0)&gt;=5,IFERROR(VLOOKUP(AL399,Equip!$A:$N,13,FALSE),0)&lt;=9),INT(VLOOKUP(AL399,Equip!$A:$N,6,FALSE)*SQRT(AP399)),0)</f>
        <v>0</v>
      </c>
      <c r="AV399">
        <f>IF(AND(IFERROR(VLOOKUP(AM399,Equip!$A:$N,13,FALSE),0)&gt;=5,IFERROR(VLOOKUP(AM399,Equip!$A:$N,13,FALSE),0)&lt;=9),INT(VLOOKUP(AM399,Equip!$A:$N,6,FALSE)*SQRT(AQ399)),0)</f>
        <v>0</v>
      </c>
      <c r="AW399">
        <f t="shared" si="1249"/>
        <v>0</v>
      </c>
      <c r="AX399">
        <f t="shared" si="1250"/>
        <v>448</v>
      </c>
    </row>
    <row r="400" spans="1:50">
      <c r="A400">
        <v>242</v>
      </c>
      <c r="B400" t="s">
        <v>899</v>
      </c>
      <c r="C400" t="s">
        <v>899</v>
      </c>
      <c r="D400">
        <v>1</v>
      </c>
      <c r="E400">
        <f>E399</f>
        <v>2850</v>
      </c>
      <c r="F400">
        <f t="shared" ref="F400" si="1289">F399</f>
        <v>1530</v>
      </c>
      <c r="G400">
        <f t="shared" ref="G400" si="1290">G399</f>
        <v>242</v>
      </c>
      <c r="H400">
        <f t="shared" ref="H400" si="1291">H399</f>
        <v>2</v>
      </c>
      <c r="I400">
        <f t="shared" ref="I400" si="1292">I399</f>
        <v>3</v>
      </c>
      <c r="J400">
        <f t="shared" ref="J400" si="1293">J399</f>
        <v>7</v>
      </c>
      <c r="K400">
        <v>8</v>
      </c>
      <c r="L400">
        <v>8</v>
      </c>
      <c r="M400">
        <v>92</v>
      </c>
      <c r="N400">
        <v>92</v>
      </c>
      <c r="O400">
        <v>82</v>
      </c>
      <c r="P400">
        <v>71</v>
      </c>
      <c r="Q400">
        <v>0</v>
      </c>
      <c r="R400">
        <v>32</v>
      </c>
      <c r="S400">
        <v>46</v>
      </c>
      <c r="T400">
        <v>0</v>
      </c>
      <c r="U400">
        <f t="shared" ref="U400" si="1294">U399</f>
        <v>10</v>
      </c>
      <c r="V400">
        <v>17</v>
      </c>
      <c r="W400">
        <f t="shared" ref="W400" si="1295">W399</f>
        <v>4</v>
      </c>
      <c r="X400">
        <v>8</v>
      </c>
      <c r="Y400">
        <f t="shared" ref="Y400" si="1296">Y399</f>
        <v>0</v>
      </c>
      <c r="Z400">
        <v>140</v>
      </c>
      <c r="AA400">
        <v>170</v>
      </c>
      <c r="AB400">
        <v>105</v>
      </c>
      <c r="AC400">
        <v>0</v>
      </c>
      <c r="AD400">
        <v>94</v>
      </c>
      <c r="AE400">
        <v>90</v>
      </c>
      <c r="AF400">
        <v>57</v>
      </c>
      <c r="AG400">
        <v>71</v>
      </c>
      <c r="AH400">
        <v>0</v>
      </c>
      <c r="AI400">
        <v>52</v>
      </c>
      <c r="AJ400">
        <v>137</v>
      </c>
      <c r="AK400">
        <v>134</v>
      </c>
      <c r="AL400">
        <v>135</v>
      </c>
      <c r="AM400">
        <v>0</v>
      </c>
      <c r="AN400">
        <v>3</v>
      </c>
      <c r="AO400">
        <v>3</v>
      </c>
      <c r="AP400">
        <v>3</v>
      </c>
      <c r="AQ400">
        <v>3</v>
      </c>
      <c r="AR400">
        <f t="shared" si="1248"/>
        <v>12</v>
      </c>
      <c r="AS400">
        <f>IF(AND(IFERROR(VLOOKUP(AJ400,Equip!$A:$N,13,FALSE),0)&gt;=5,IFERROR(VLOOKUP(AJ400,Equip!$A:$N,13,FALSE),0)&lt;=9),INT(VLOOKUP(AJ400,Equip!$A:$N,6,FALSE)*SQRT(AN400)),0)</f>
        <v>0</v>
      </c>
      <c r="AT400">
        <f>IF(AND(IFERROR(VLOOKUP(AK400,Equip!$A:$N,13,FALSE),0)&gt;=5,IFERROR(VLOOKUP(AK400,Equip!$A:$N,13,FALSE),0)&lt;=9),INT(VLOOKUP(AK400,Equip!$A:$N,6,FALSE)*SQRT(AO400)),0)</f>
        <v>0</v>
      </c>
      <c r="AU400">
        <f>IF(AND(IFERROR(VLOOKUP(AL400,Equip!$A:$N,13,FALSE),0)&gt;=5,IFERROR(VLOOKUP(AL400,Equip!$A:$N,13,FALSE),0)&lt;=9),INT(VLOOKUP(AL400,Equip!$A:$N,6,FALSE)*SQRT(AP400)),0)</f>
        <v>0</v>
      </c>
      <c r="AV400">
        <f>IF(AND(IFERROR(VLOOKUP(AM400,Equip!$A:$N,13,FALSE),0)&gt;=5,IFERROR(VLOOKUP(AM400,Equip!$A:$N,13,FALSE),0)&lt;=9),INT(VLOOKUP(AM400,Equip!$A:$N,6,FALSE)*SQRT(AQ400)),0)</f>
        <v>0</v>
      </c>
      <c r="AW400">
        <f t="shared" si="1249"/>
        <v>0</v>
      </c>
      <c r="AX400">
        <f t="shared" si="1250"/>
        <v>504</v>
      </c>
    </row>
    <row r="401" spans="1:51">
      <c r="A401">
        <v>243</v>
      </c>
      <c r="B401" t="s">
        <v>900</v>
      </c>
      <c r="C401" t="s">
        <v>900</v>
      </c>
      <c r="D401">
        <v>0</v>
      </c>
      <c r="E401">
        <v>1250</v>
      </c>
      <c r="F401">
        <v>730</v>
      </c>
      <c r="G401">
        <v>243</v>
      </c>
      <c r="H401">
        <v>0</v>
      </c>
      <c r="I401">
        <v>3</v>
      </c>
      <c r="J401">
        <v>3</v>
      </c>
      <c r="K401">
        <v>1</v>
      </c>
      <c r="L401">
        <v>1</v>
      </c>
      <c r="M401">
        <v>15</v>
      </c>
      <c r="N401">
        <v>15</v>
      </c>
      <c r="O401">
        <v>9</v>
      </c>
      <c r="P401">
        <v>7</v>
      </c>
      <c r="Q401">
        <v>22</v>
      </c>
      <c r="R401">
        <v>48</v>
      </c>
      <c r="S401">
        <v>11</v>
      </c>
      <c r="T401">
        <v>30</v>
      </c>
      <c r="U401">
        <v>10</v>
      </c>
      <c r="V401">
        <v>7</v>
      </c>
      <c r="W401">
        <v>1</v>
      </c>
      <c r="X401">
        <v>12</v>
      </c>
      <c r="Y401">
        <v>0</v>
      </c>
      <c r="Z401">
        <v>15</v>
      </c>
      <c r="AA401">
        <v>20</v>
      </c>
      <c r="AB401">
        <v>27</v>
      </c>
      <c r="AC401">
        <v>58</v>
      </c>
      <c r="AD401">
        <v>41</v>
      </c>
      <c r="AE401">
        <v>18</v>
      </c>
      <c r="AF401">
        <v>59</v>
      </c>
      <c r="AG401">
        <v>82</v>
      </c>
      <c r="AH401">
        <v>60</v>
      </c>
      <c r="AI401">
        <v>20</v>
      </c>
      <c r="AJ401">
        <v>147</v>
      </c>
      <c r="AK401">
        <v>0</v>
      </c>
      <c r="AL401">
        <v>-1</v>
      </c>
      <c r="AM401">
        <v>-1</v>
      </c>
      <c r="AN401">
        <v>0</v>
      </c>
      <c r="AO401">
        <v>0</v>
      </c>
      <c r="AP401">
        <v>0</v>
      </c>
      <c r="AQ401">
        <v>0</v>
      </c>
      <c r="AR401">
        <f t="shared" si="1248"/>
        <v>0</v>
      </c>
      <c r="AS401">
        <f>IF(AND(IFERROR(VLOOKUP(AJ401,Equip!$A:$N,13,FALSE),0)&gt;=5,IFERROR(VLOOKUP(AJ401,Equip!$A:$N,13,FALSE),0)&lt;=9),INT(VLOOKUP(AJ401,Equip!$A:$N,6,FALSE)*SQRT(AN401)),0)</f>
        <v>0</v>
      </c>
      <c r="AT401">
        <f>IF(AND(IFERROR(VLOOKUP(AK401,Equip!$A:$N,13,FALSE),0)&gt;=5,IFERROR(VLOOKUP(AK401,Equip!$A:$N,13,FALSE),0)&lt;=9),INT(VLOOKUP(AK401,Equip!$A:$N,6,FALSE)*SQRT(AO401)),0)</f>
        <v>0</v>
      </c>
      <c r="AU401">
        <f>IF(AND(IFERROR(VLOOKUP(AL401,Equip!$A:$N,13,FALSE),0)&gt;=5,IFERROR(VLOOKUP(AL401,Equip!$A:$N,13,FALSE),0)&lt;=9),INT(VLOOKUP(AL401,Equip!$A:$N,6,FALSE)*SQRT(AP401)),0)</f>
        <v>0</v>
      </c>
      <c r="AV401">
        <f>IF(AND(IFERROR(VLOOKUP(AM401,Equip!$A:$N,13,FALSE),0)&gt;=5,IFERROR(VLOOKUP(AM401,Equip!$A:$N,13,FALSE),0)&lt;=9),INT(VLOOKUP(AM401,Equip!$A:$N,6,FALSE)*SQRT(AQ401)),0)</f>
        <v>0</v>
      </c>
      <c r="AW401">
        <f t="shared" si="1249"/>
        <v>0</v>
      </c>
      <c r="AX401">
        <f t="shared" si="1250"/>
        <v>321</v>
      </c>
    </row>
    <row r="402" spans="1:51">
      <c r="A402">
        <v>243</v>
      </c>
      <c r="B402" t="s">
        <v>900</v>
      </c>
      <c r="C402" t="s">
        <v>900</v>
      </c>
      <c r="D402">
        <v>1</v>
      </c>
      <c r="E402">
        <f>E401</f>
        <v>1250</v>
      </c>
      <c r="F402">
        <f t="shared" ref="F402" si="1297">F401</f>
        <v>730</v>
      </c>
      <c r="G402">
        <f t="shared" ref="G402" si="1298">G401</f>
        <v>243</v>
      </c>
      <c r="H402">
        <f t="shared" ref="H402" si="1299">H401</f>
        <v>0</v>
      </c>
      <c r="I402">
        <f t="shared" ref="I402" si="1300">I401</f>
        <v>3</v>
      </c>
      <c r="J402">
        <f t="shared" ref="J402" si="1301">J401</f>
        <v>3</v>
      </c>
      <c r="K402">
        <v>1</v>
      </c>
      <c r="L402">
        <v>1</v>
      </c>
      <c r="M402">
        <v>29</v>
      </c>
      <c r="N402">
        <v>29</v>
      </c>
      <c r="O402">
        <v>9</v>
      </c>
      <c r="P402">
        <v>7</v>
      </c>
      <c r="Q402">
        <v>22</v>
      </c>
      <c r="R402">
        <v>50</v>
      </c>
      <c r="S402">
        <v>11</v>
      </c>
      <c r="T402">
        <v>40</v>
      </c>
      <c r="U402">
        <f t="shared" ref="U402" si="1302">U401</f>
        <v>10</v>
      </c>
      <c r="V402">
        <v>10</v>
      </c>
      <c r="W402">
        <f t="shared" ref="W402" si="1303">W401</f>
        <v>1</v>
      </c>
      <c r="X402">
        <v>16</v>
      </c>
      <c r="Y402">
        <f t="shared" ref="Y402" si="1304">Y401</f>
        <v>0</v>
      </c>
      <c r="Z402">
        <v>15</v>
      </c>
      <c r="AA402">
        <v>20</v>
      </c>
      <c r="AB402">
        <v>48</v>
      </c>
      <c r="AC402">
        <v>72</v>
      </c>
      <c r="AD402">
        <v>59</v>
      </c>
      <c r="AE402">
        <v>50</v>
      </c>
      <c r="AF402">
        <v>69</v>
      </c>
      <c r="AG402">
        <v>92</v>
      </c>
      <c r="AH402">
        <v>80</v>
      </c>
      <c r="AI402">
        <v>46</v>
      </c>
      <c r="AJ402">
        <v>147</v>
      </c>
      <c r="AK402">
        <v>147</v>
      </c>
      <c r="AL402">
        <v>0</v>
      </c>
      <c r="AM402">
        <v>-1</v>
      </c>
      <c r="AN402">
        <v>0</v>
      </c>
      <c r="AO402">
        <v>0</v>
      </c>
      <c r="AP402">
        <v>0</v>
      </c>
      <c r="AQ402">
        <v>0</v>
      </c>
      <c r="AR402">
        <f t="shared" si="1248"/>
        <v>0</v>
      </c>
      <c r="AS402">
        <f>IF(AND(IFERROR(VLOOKUP(AJ402,Equip!$A:$N,13,FALSE),0)&gt;=5,IFERROR(VLOOKUP(AJ402,Equip!$A:$N,13,FALSE),0)&lt;=9),INT(VLOOKUP(AJ402,Equip!$A:$N,6,FALSE)*SQRT(AN402)),0)</f>
        <v>0</v>
      </c>
      <c r="AT402">
        <f>IF(AND(IFERROR(VLOOKUP(AK402,Equip!$A:$N,13,FALSE),0)&gt;=5,IFERROR(VLOOKUP(AK402,Equip!$A:$N,13,FALSE),0)&lt;=9),INT(VLOOKUP(AK402,Equip!$A:$N,6,FALSE)*SQRT(AO402)),0)</f>
        <v>0</v>
      </c>
      <c r="AU402">
        <f>IF(AND(IFERROR(VLOOKUP(AL402,Equip!$A:$N,13,FALSE),0)&gt;=5,IFERROR(VLOOKUP(AL402,Equip!$A:$N,13,FALSE),0)&lt;=9),INT(VLOOKUP(AL402,Equip!$A:$N,6,FALSE)*SQRT(AP402)),0)</f>
        <v>0</v>
      </c>
      <c r="AV402">
        <f>IF(AND(IFERROR(VLOOKUP(AM402,Equip!$A:$N,13,FALSE),0)&gt;=5,IFERROR(VLOOKUP(AM402,Equip!$A:$N,13,FALSE),0)&lt;=9),INT(VLOOKUP(AM402,Equip!$A:$N,6,FALSE)*SQRT(AQ402)),0)</f>
        <v>0</v>
      </c>
      <c r="AW402">
        <f t="shared" si="1249"/>
        <v>0</v>
      </c>
      <c r="AX402">
        <f t="shared" si="1250"/>
        <v>476</v>
      </c>
    </row>
    <row r="403" spans="1:51">
      <c r="A403">
        <v>244</v>
      </c>
      <c r="B403" t="s">
        <v>901</v>
      </c>
      <c r="C403" t="s">
        <v>901</v>
      </c>
      <c r="D403">
        <v>0</v>
      </c>
      <c r="E403">
        <v>1990</v>
      </c>
      <c r="F403">
        <v>1105</v>
      </c>
      <c r="G403">
        <v>244</v>
      </c>
      <c r="H403">
        <v>2</v>
      </c>
      <c r="I403">
        <v>3</v>
      </c>
      <c r="J403">
        <v>6</v>
      </c>
      <c r="K403">
        <v>12</v>
      </c>
      <c r="L403">
        <v>4</v>
      </c>
      <c r="M403">
        <v>38</v>
      </c>
      <c r="N403">
        <v>38</v>
      </c>
      <c r="O403">
        <v>0</v>
      </c>
      <c r="P403">
        <v>18</v>
      </c>
      <c r="Q403">
        <v>0</v>
      </c>
      <c r="R403">
        <v>34</v>
      </c>
      <c r="S403">
        <v>18</v>
      </c>
      <c r="T403">
        <v>0</v>
      </c>
      <c r="U403">
        <v>10</v>
      </c>
      <c r="V403">
        <v>30</v>
      </c>
      <c r="W403">
        <v>1</v>
      </c>
      <c r="X403">
        <v>5</v>
      </c>
      <c r="Y403">
        <v>0</v>
      </c>
      <c r="Z403">
        <v>40</v>
      </c>
      <c r="AA403">
        <v>45</v>
      </c>
      <c r="AB403">
        <v>14</v>
      </c>
      <c r="AC403">
        <v>0</v>
      </c>
      <c r="AD403">
        <v>48</v>
      </c>
      <c r="AE403">
        <v>38</v>
      </c>
      <c r="AF403">
        <v>29</v>
      </c>
      <c r="AG403">
        <v>42</v>
      </c>
      <c r="AH403">
        <v>0</v>
      </c>
      <c r="AI403">
        <v>52</v>
      </c>
      <c r="AJ403">
        <v>184</v>
      </c>
      <c r="AK403">
        <v>0</v>
      </c>
      <c r="AL403">
        <v>0</v>
      </c>
      <c r="AM403">
        <v>-1</v>
      </c>
      <c r="AN403">
        <v>10</v>
      </c>
      <c r="AO403">
        <v>26</v>
      </c>
      <c r="AP403">
        <v>15</v>
      </c>
      <c r="AQ403">
        <v>0</v>
      </c>
      <c r="AR403">
        <f t="shared" si="1248"/>
        <v>51</v>
      </c>
      <c r="AS403">
        <f>IF(AND(IFERROR(VLOOKUP(AJ403,Equip!$A:$N,13,FALSE),0)&gt;=5,IFERROR(VLOOKUP(AJ403,Equip!$A:$N,13,FALSE),0)&lt;=9),INT(VLOOKUP(AJ403,Equip!$A:$N,6,FALSE)*SQRT(AN403)),0)</f>
        <v>0</v>
      </c>
      <c r="AT403">
        <f>IF(AND(IFERROR(VLOOKUP(AK403,Equip!$A:$N,13,FALSE),0)&gt;=5,IFERROR(VLOOKUP(AK403,Equip!$A:$N,13,FALSE),0)&lt;=9),INT(VLOOKUP(AK403,Equip!$A:$N,6,FALSE)*SQRT(AO403)),0)</f>
        <v>0</v>
      </c>
      <c r="AU403">
        <f>IF(AND(IFERROR(VLOOKUP(AL403,Equip!$A:$N,13,FALSE),0)&gt;=5,IFERROR(VLOOKUP(AL403,Equip!$A:$N,13,FALSE),0)&lt;=9),INT(VLOOKUP(AL403,Equip!$A:$N,6,FALSE)*SQRT(AP403)),0)</f>
        <v>0</v>
      </c>
      <c r="AV403">
        <f>IF(AND(IFERROR(VLOOKUP(AM403,Equip!$A:$N,13,FALSE),0)&gt;=5,IFERROR(VLOOKUP(AM403,Equip!$A:$N,13,FALSE),0)&lt;=9),INT(VLOOKUP(AM403,Equip!$A:$N,6,FALSE)*SQRT(AQ403)),0)</f>
        <v>0</v>
      </c>
      <c r="AW403">
        <f t="shared" si="1249"/>
        <v>0</v>
      </c>
      <c r="AX403">
        <f t="shared" si="1250"/>
        <v>232</v>
      </c>
    </row>
    <row r="404" spans="1:51">
      <c r="A404">
        <v>244</v>
      </c>
      <c r="B404" t="s">
        <v>901</v>
      </c>
      <c r="C404" t="s">
        <v>901</v>
      </c>
      <c r="D404">
        <v>1</v>
      </c>
      <c r="E404">
        <f>E403</f>
        <v>1990</v>
      </c>
      <c r="F404">
        <f t="shared" ref="F404" si="1305">F403</f>
        <v>1105</v>
      </c>
      <c r="G404">
        <f t="shared" ref="G404" si="1306">G403</f>
        <v>244</v>
      </c>
      <c r="H404">
        <f t="shared" ref="H404" si="1307">H403</f>
        <v>2</v>
      </c>
      <c r="I404">
        <f t="shared" ref="I404" si="1308">I403</f>
        <v>3</v>
      </c>
      <c r="J404">
        <f t="shared" ref="J404" si="1309">J403</f>
        <v>6</v>
      </c>
      <c r="K404">
        <v>12</v>
      </c>
      <c r="L404">
        <v>4</v>
      </c>
      <c r="M404">
        <v>48</v>
      </c>
      <c r="N404">
        <v>48</v>
      </c>
      <c r="O404">
        <v>9</v>
      </c>
      <c r="P404">
        <v>39</v>
      </c>
      <c r="Q404">
        <v>0</v>
      </c>
      <c r="R404">
        <v>49</v>
      </c>
      <c r="S404">
        <v>38</v>
      </c>
      <c r="T404">
        <v>0</v>
      </c>
      <c r="U404">
        <f t="shared" ref="U404" si="1310">U403</f>
        <v>10</v>
      </c>
      <c r="V404">
        <v>52</v>
      </c>
      <c r="W404">
        <f t="shared" ref="W404" si="1311">W403</f>
        <v>1</v>
      </c>
      <c r="X404">
        <v>7</v>
      </c>
      <c r="Y404">
        <f t="shared" ref="Y404" si="1312">Y403</f>
        <v>0</v>
      </c>
      <c r="Z404">
        <v>45</v>
      </c>
      <c r="AA404">
        <v>55</v>
      </c>
      <c r="AB404">
        <v>24</v>
      </c>
      <c r="AC404">
        <v>0</v>
      </c>
      <c r="AD404">
        <v>72</v>
      </c>
      <c r="AE404">
        <v>57</v>
      </c>
      <c r="AF404">
        <v>37</v>
      </c>
      <c r="AG404">
        <v>72</v>
      </c>
      <c r="AH404">
        <v>0</v>
      </c>
      <c r="AI404">
        <v>72</v>
      </c>
      <c r="AJ404">
        <v>184</v>
      </c>
      <c r="AK404">
        <v>188</v>
      </c>
      <c r="AL404">
        <v>0</v>
      </c>
      <c r="AM404">
        <v>0</v>
      </c>
      <c r="AN404">
        <v>15</v>
      </c>
      <c r="AO404">
        <v>26</v>
      </c>
      <c r="AP404">
        <v>15</v>
      </c>
      <c r="AQ404">
        <v>10</v>
      </c>
      <c r="AR404">
        <f t="shared" si="1248"/>
        <v>66</v>
      </c>
      <c r="AS404">
        <f>IF(AND(IFERROR(VLOOKUP(AJ404,Equip!$A:$N,13,FALSE),0)&gt;=5,IFERROR(VLOOKUP(AJ404,Equip!$A:$N,13,FALSE),0)&lt;=9),INT(VLOOKUP(AJ404,Equip!$A:$N,6,FALSE)*SQRT(AN404)),0)</f>
        <v>0</v>
      </c>
      <c r="AT404">
        <f>IF(AND(IFERROR(VLOOKUP(AK404,Equip!$A:$N,13,FALSE),0)&gt;=5,IFERROR(VLOOKUP(AK404,Equip!$A:$N,13,FALSE),0)&lt;=9),INT(VLOOKUP(AK404,Equip!$A:$N,6,FALSE)*SQRT(AO404)),0)</f>
        <v>0</v>
      </c>
      <c r="AU404">
        <f>IF(AND(IFERROR(VLOOKUP(AL404,Equip!$A:$N,13,FALSE),0)&gt;=5,IFERROR(VLOOKUP(AL404,Equip!$A:$N,13,FALSE),0)&lt;=9),INT(VLOOKUP(AL404,Equip!$A:$N,6,FALSE)*SQRT(AP404)),0)</f>
        <v>0</v>
      </c>
      <c r="AV404">
        <f>IF(AND(IFERROR(VLOOKUP(AM404,Equip!$A:$N,13,FALSE),0)&gt;=5,IFERROR(VLOOKUP(AM404,Equip!$A:$N,13,FALSE),0)&lt;=9),INT(VLOOKUP(AM404,Equip!$A:$N,6,FALSE)*SQRT(AQ404)),0)</f>
        <v>0</v>
      </c>
      <c r="AW404">
        <f t="shared" si="1249"/>
        <v>0</v>
      </c>
      <c r="AX404">
        <f t="shared" si="1250"/>
        <v>345</v>
      </c>
    </row>
    <row r="405" spans="1:51" ht="14.25">
      <c r="A405">
        <v>245</v>
      </c>
      <c r="B405" t="s">
        <v>902</v>
      </c>
      <c r="C405" t="s">
        <v>902</v>
      </c>
      <c r="D405">
        <v>0</v>
      </c>
      <c r="E405">
        <v>1950</v>
      </c>
      <c r="F405">
        <v>1080</v>
      </c>
      <c r="G405">
        <v>245</v>
      </c>
      <c r="H405">
        <v>1</v>
      </c>
      <c r="I405">
        <v>1</v>
      </c>
      <c r="J405">
        <v>4</v>
      </c>
      <c r="K405">
        <v>10</v>
      </c>
      <c r="L405">
        <v>4</v>
      </c>
      <c r="M405">
        <v>32</v>
      </c>
      <c r="N405">
        <v>32</v>
      </c>
      <c r="O405">
        <v>6</v>
      </c>
      <c r="P405">
        <v>9</v>
      </c>
      <c r="Q405">
        <v>0</v>
      </c>
      <c r="R405">
        <v>32</v>
      </c>
      <c r="S405">
        <v>12</v>
      </c>
      <c r="T405">
        <v>0</v>
      </c>
      <c r="U405">
        <v>5</v>
      </c>
      <c r="V405">
        <v>22</v>
      </c>
      <c r="W405">
        <v>1</v>
      </c>
      <c r="X405">
        <v>12</v>
      </c>
      <c r="Y405">
        <v>0</v>
      </c>
      <c r="Z405">
        <v>50</v>
      </c>
      <c r="AA405">
        <v>10</v>
      </c>
      <c r="AB405">
        <v>18</v>
      </c>
      <c r="AC405">
        <v>0</v>
      </c>
      <c r="AD405">
        <v>36</v>
      </c>
      <c r="AE405">
        <v>25</v>
      </c>
      <c r="AF405">
        <v>59</v>
      </c>
      <c r="AG405">
        <v>57</v>
      </c>
      <c r="AH405">
        <v>0</v>
      </c>
      <c r="AI405">
        <v>42</v>
      </c>
      <c r="AJ405">
        <v>10</v>
      </c>
      <c r="AK405">
        <v>39</v>
      </c>
      <c r="AL405">
        <v>-1</v>
      </c>
      <c r="AM405">
        <v>-1</v>
      </c>
      <c r="AN405">
        <v>6</v>
      </c>
      <c r="AO405">
        <v>1</v>
      </c>
      <c r="AP405">
        <v>0</v>
      </c>
      <c r="AQ405">
        <v>0</v>
      </c>
      <c r="AR405">
        <f t="shared" si="1248"/>
        <v>7</v>
      </c>
      <c r="AS405">
        <f>IF(AND(IFERROR(VLOOKUP(AJ405,Equip!$A:$N,13,FALSE),0)&gt;=5,IFERROR(VLOOKUP(AJ405,Equip!$A:$N,13,FALSE),0)&lt;=9),INT(VLOOKUP(AJ405,Equip!$A:$N,6,FALSE)*SQRT(AN405)),0)</f>
        <v>0</v>
      </c>
      <c r="AT405">
        <f>IF(AND(IFERROR(VLOOKUP(AK405,Equip!$A:$N,13,FALSE),0)&gt;=5,IFERROR(VLOOKUP(AK405,Equip!$A:$N,13,FALSE),0)&lt;=9),INT(VLOOKUP(AK405,Equip!$A:$N,6,FALSE)*SQRT(AO405)),0)</f>
        <v>0</v>
      </c>
      <c r="AU405">
        <f>IF(AND(IFERROR(VLOOKUP(AL405,Equip!$A:$N,13,FALSE),0)&gt;=5,IFERROR(VLOOKUP(AL405,Equip!$A:$N,13,FALSE),0)&lt;=9),INT(VLOOKUP(AL405,Equip!$A:$N,6,FALSE)*SQRT(AP405)),0)</f>
        <v>0</v>
      </c>
      <c r="AV405">
        <f>IF(AND(IFERROR(VLOOKUP(AM405,Equip!$A:$N,13,FALSE),0)&gt;=5,IFERROR(VLOOKUP(AM405,Equip!$A:$N,13,FALSE),0)&lt;=9),INT(VLOOKUP(AM405,Equip!$A:$N,6,FALSE)*SQRT(AQ405)),0)</f>
        <v>0</v>
      </c>
      <c r="AW405">
        <f t="shared" si="1249"/>
        <v>0</v>
      </c>
      <c r="AX405">
        <f t="shared" si="1250"/>
        <v>210</v>
      </c>
      <c r="AY405" s="4" t="s">
        <v>1392</v>
      </c>
    </row>
    <row r="406" spans="1:51" ht="14.25">
      <c r="A406">
        <v>245</v>
      </c>
      <c r="B406" t="s">
        <v>902</v>
      </c>
      <c r="C406" t="s">
        <v>902</v>
      </c>
      <c r="D406">
        <v>1</v>
      </c>
      <c r="E406">
        <f>E405</f>
        <v>1950</v>
      </c>
      <c r="F406">
        <f t="shared" ref="F406" si="1313">F405</f>
        <v>1080</v>
      </c>
      <c r="G406">
        <f t="shared" ref="G406" si="1314">G405</f>
        <v>245</v>
      </c>
      <c r="H406">
        <f t="shared" ref="H406" si="1315">H405</f>
        <v>1</v>
      </c>
      <c r="I406">
        <f t="shared" ref="I406" si="1316">I405</f>
        <v>1</v>
      </c>
      <c r="J406">
        <f t="shared" ref="J406" si="1317">J405</f>
        <v>4</v>
      </c>
      <c r="K406">
        <v>10</v>
      </c>
      <c r="L406">
        <v>4</v>
      </c>
      <c r="M406">
        <v>36</v>
      </c>
      <c r="N406">
        <v>36</v>
      </c>
      <c r="O406">
        <v>8</v>
      </c>
      <c r="P406">
        <v>9</v>
      </c>
      <c r="Q406">
        <v>0</v>
      </c>
      <c r="R406">
        <v>35</v>
      </c>
      <c r="S406">
        <v>16</v>
      </c>
      <c r="T406">
        <v>0</v>
      </c>
      <c r="U406">
        <f t="shared" ref="U406" si="1318">U405</f>
        <v>5</v>
      </c>
      <c r="V406">
        <v>24</v>
      </c>
      <c r="W406">
        <f t="shared" ref="W406" si="1319">W405</f>
        <v>1</v>
      </c>
      <c r="X406">
        <v>14</v>
      </c>
      <c r="Y406">
        <f t="shared" ref="Y406" si="1320">Y405</f>
        <v>0</v>
      </c>
      <c r="Z406">
        <v>60</v>
      </c>
      <c r="AA406">
        <v>15</v>
      </c>
      <c r="AB406">
        <v>28</v>
      </c>
      <c r="AC406">
        <v>0</v>
      </c>
      <c r="AD406">
        <v>44</v>
      </c>
      <c r="AE406">
        <v>42</v>
      </c>
      <c r="AF406">
        <v>72</v>
      </c>
      <c r="AG406">
        <v>64</v>
      </c>
      <c r="AH406">
        <v>0</v>
      </c>
      <c r="AI406">
        <v>54</v>
      </c>
      <c r="AJ406">
        <v>138</v>
      </c>
      <c r="AK406">
        <v>40</v>
      </c>
      <c r="AL406">
        <v>0</v>
      </c>
      <c r="AM406">
        <v>-1</v>
      </c>
      <c r="AN406">
        <v>6</v>
      </c>
      <c r="AO406">
        <v>1</v>
      </c>
      <c r="AP406">
        <v>1</v>
      </c>
      <c r="AQ406">
        <v>0</v>
      </c>
      <c r="AR406">
        <f t="shared" si="1248"/>
        <v>8</v>
      </c>
      <c r="AS406">
        <f>IF(AND(IFERROR(VLOOKUP(AJ406,Equip!$A:$N,13,FALSE),0)&gt;=5,IFERROR(VLOOKUP(AJ406,Equip!$A:$N,13,FALSE),0)&lt;=9),INT(VLOOKUP(AJ406,Equip!$A:$N,6,FALSE)*SQRT(AN406)),0)</f>
        <v>0</v>
      </c>
      <c r="AT406">
        <f>IF(AND(IFERROR(VLOOKUP(AK406,Equip!$A:$N,13,FALSE),0)&gt;=5,IFERROR(VLOOKUP(AK406,Equip!$A:$N,13,FALSE),0)&lt;=9),INT(VLOOKUP(AK406,Equip!$A:$N,6,FALSE)*SQRT(AO406)),0)</f>
        <v>0</v>
      </c>
      <c r="AU406">
        <f>IF(AND(IFERROR(VLOOKUP(AL406,Equip!$A:$N,13,FALSE),0)&gt;=5,IFERROR(VLOOKUP(AL406,Equip!$A:$N,13,FALSE),0)&lt;=9),INT(VLOOKUP(AL406,Equip!$A:$N,6,FALSE)*SQRT(AP406)),0)</f>
        <v>0</v>
      </c>
      <c r="AV406">
        <f>IF(AND(IFERROR(VLOOKUP(AM406,Equip!$A:$N,13,FALSE),0)&gt;=5,IFERROR(VLOOKUP(AM406,Equip!$A:$N,13,FALSE),0)&lt;=9),INT(VLOOKUP(AM406,Equip!$A:$N,6,FALSE)*SQRT(AQ406)),0)</f>
        <v>0</v>
      </c>
      <c r="AW406">
        <f t="shared" si="1249"/>
        <v>0</v>
      </c>
      <c r="AX406">
        <f t="shared" si="1250"/>
        <v>268</v>
      </c>
      <c r="AY406" s="4" t="s">
        <v>1392</v>
      </c>
    </row>
    <row r="407" spans="1:51" ht="14.25">
      <c r="A407">
        <v>248</v>
      </c>
      <c r="B407" t="s">
        <v>903</v>
      </c>
      <c r="C407" t="s">
        <v>903</v>
      </c>
      <c r="D407">
        <v>0</v>
      </c>
      <c r="E407">
        <v>2016</v>
      </c>
      <c r="F407">
        <v>1109</v>
      </c>
      <c r="G407">
        <v>248</v>
      </c>
      <c r="H407">
        <v>1</v>
      </c>
      <c r="I407">
        <v>3</v>
      </c>
      <c r="J407">
        <v>6</v>
      </c>
      <c r="K407">
        <v>3</v>
      </c>
      <c r="L407">
        <v>4</v>
      </c>
      <c r="M407">
        <v>42</v>
      </c>
      <c r="N407">
        <v>42</v>
      </c>
      <c r="O407">
        <v>36</v>
      </c>
      <c r="P407">
        <v>39</v>
      </c>
      <c r="Q407">
        <v>0</v>
      </c>
      <c r="R407">
        <v>33</v>
      </c>
      <c r="S407">
        <v>18</v>
      </c>
      <c r="T407">
        <v>0</v>
      </c>
      <c r="U407">
        <v>10</v>
      </c>
      <c r="V407">
        <v>10</v>
      </c>
      <c r="W407">
        <v>3</v>
      </c>
      <c r="X407">
        <v>10</v>
      </c>
      <c r="Y407">
        <v>0</v>
      </c>
      <c r="Z407">
        <v>45</v>
      </c>
      <c r="AA407">
        <v>60</v>
      </c>
      <c r="AB407">
        <v>58</v>
      </c>
      <c r="AC407">
        <v>28</v>
      </c>
      <c r="AD407">
        <v>62</v>
      </c>
      <c r="AE407">
        <v>55</v>
      </c>
      <c r="AF407">
        <v>48</v>
      </c>
      <c r="AG407">
        <v>59</v>
      </c>
      <c r="AH407">
        <v>0</v>
      </c>
      <c r="AI407">
        <v>36</v>
      </c>
      <c r="AJ407">
        <v>162</v>
      </c>
      <c r="AK407">
        <v>0</v>
      </c>
      <c r="AL407">
        <v>0</v>
      </c>
      <c r="AM407">
        <v>-1</v>
      </c>
      <c r="AN407">
        <v>2</v>
      </c>
      <c r="AO407">
        <v>2</v>
      </c>
      <c r="AP407">
        <v>2</v>
      </c>
      <c r="AQ407">
        <v>0</v>
      </c>
      <c r="AR407">
        <f t="shared" si="1248"/>
        <v>6</v>
      </c>
      <c r="AS407">
        <f>IF(AND(IFERROR(VLOOKUP(AJ407,Equip!$A:$N,13,FALSE),0)&gt;=5,IFERROR(VLOOKUP(AJ407,Equip!$A:$N,13,FALSE),0)&lt;=9),INT(VLOOKUP(AJ407,Equip!$A:$N,6,FALSE)*SQRT(AN407)),0)</f>
        <v>0</v>
      </c>
      <c r="AT407">
        <f>IF(AND(IFERROR(VLOOKUP(AK407,Equip!$A:$N,13,FALSE),0)&gt;=5,IFERROR(VLOOKUP(AK407,Equip!$A:$N,13,FALSE),0)&lt;=9),INT(VLOOKUP(AK407,Equip!$A:$N,6,FALSE)*SQRT(AO407)),0)</f>
        <v>0</v>
      </c>
      <c r="AU407">
        <f>IF(AND(IFERROR(VLOOKUP(AL407,Equip!$A:$N,13,FALSE),0)&gt;=5,IFERROR(VLOOKUP(AL407,Equip!$A:$N,13,FALSE),0)&lt;=9),INT(VLOOKUP(AL407,Equip!$A:$N,6,FALSE)*SQRT(AP407)),0)</f>
        <v>0</v>
      </c>
      <c r="AV407">
        <f>IF(AND(IFERROR(VLOOKUP(AM407,Equip!$A:$N,13,FALSE),0)&gt;=5,IFERROR(VLOOKUP(AM407,Equip!$A:$N,13,FALSE),0)&lt;=9),INT(VLOOKUP(AM407,Equip!$A:$N,6,FALSE)*SQRT(AQ407)),0)</f>
        <v>0</v>
      </c>
      <c r="AW407">
        <f t="shared" si="1249"/>
        <v>0</v>
      </c>
      <c r="AX407">
        <f t="shared" si="1250"/>
        <v>340</v>
      </c>
      <c r="AY407" s="4" t="s">
        <v>1268</v>
      </c>
    </row>
    <row r="408" spans="1:51" ht="14.25">
      <c r="A408">
        <v>248</v>
      </c>
      <c r="B408" t="s">
        <v>903</v>
      </c>
      <c r="C408" t="s">
        <v>903</v>
      </c>
      <c r="D408">
        <v>1</v>
      </c>
      <c r="E408">
        <f t="shared" ref="E408:E409" si="1321">E407</f>
        <v>2016</v>
      </c>
      <c r="F408">
        <f t="shared" ref="F408:F409" si="1322">F407</f>
        <v>1109</v>
      </c>
      <c r="G408">
        <f t="shared" ref="G408:G409" si="1323">G407</f>
        <v>248</v>
      </c>
      <c r="H408">
        <f t="shared" ref="H408:H409" si="1324">H407</f>
        <v>1</v>
      </c>
      <c r="I408">
        <f t="shared" ref="I408:I409" si="1325">I407</f>
        <v>3</v>
      </c>
      <c r="J408">
        <f t="shared" ref="J408:J409" si="1326">J407</f>
        <v>6</v>
      </c>
      <c r="K408">
        <v>3</v>
      </c>
      <c r="L408">
        <v>4</v>
      </c>
      <c r="M408">
        <v>56</v>
      </c>
      <c r="N408">
        <v>56</v>
      </c>
      <c r="O408">
        <v>36</v>
      </c>
      <c r="P408">
        <v>41</v>
      </c>
      <c r="Q408">
        <v>0</v>
      </c>
      <c r="R408">
        <v>37</v>
      </c>
      <c r="S408">
        <v>18</v>
      </c>
      <c r="T408">
        <v>0</v>
      </c>
      <c r="U408">
        <f t="shared" ref="U408:U409" si="1327">U407</f>
        <v>10</v>
      </c>
      <c r="V408">
        <v>12</v>
      </c>
      <c r="W408">
        <f t="shared" ref="W408:W409" si="1328">W407</f>
        <v>3</v>
      </c>
      <c r="X408">
        <v>12</v>
      </c>
      <c r="Y408">
        <f t="shared" ref="Y408:Y409" si="1329">Y407</f>
        <v>0</v>
      </c>
      <c r="Z408">
        <v>45</v>
      </c>
      <c r="AA408">
        <v>65</v>
      </c>
      <c r="AB408">
        <v>75</v>
      </c>
      <c r="AC408">
        <v>40</v>
      </c>
      <c r="AD408">
        <v>72</v>
      </c>
      <c r="AE408">
        <v>81</v>
      </c>
      <c r="AF408">
        <v>56</v>
      </c>
      <c r="AG408">
        <v>72</v>
      </c>
      <c r="AH408">
        <v>0</v>
      </c>
      <c r="AI408">
        <v>46</v>
      </c>
      <c r="AJ408">
        <v>162</v>
      </c>
      <c r="AK408">
        <v>163</v>
      </c>
      <c r="AL408">
        <v>0</v>
      </c>
      <c r="AM408">
        <v>0</v>
      </c>
      <c r="AN408">
        <v>2</v>
      </c>
      <c r="AO408">
        <v>2</v>
      </c>
      <c r="AP408">
        <v>2</v>
      </c>
      <c r="AQ408">
        <v>2</v>
      </c>
      <c r="AR408">
        <f t="shared" si="1248"/>
        <v>8</v>
      </c>
      <c r="AS408">
        <f>IF(AND(IFERROR(VLOOKUP(AJ408,Equip!$A:$N,13,FALSE),0)&gt;=5,IFERROR(VLOOKUP(AJ408,Equip!$A:$N,13,FALSE),0)&lt;=9),INT(VLOOKUP(AJ408,Equip!$A:$N,6,FALSE)*SQRT(AN408)),0)</f>
        <v>0</v>
      </c>
      <c r="AT408">
        <f>IF(AND(IFERROR(VLOOKUP(AK408,Equip!$A:$N,13,FALSE),0)&gt;=5,IFERROR(VLOOKUP(AK408,Equip!$A:$N,13,FALSE),0)&lt;=9),INT(VLOOKUP(AK408,Equip!$A:$N,6,FALSE)*SQRT(AO408)),0)</f>
        <v>0</v>
      </c>
      <c r="AU408">
        <f>IF(AND(IFERROR(VLOOKUP(AL408,Equip!$A:$N,13,FALSE),0)&gt;=5,IFERROR(VLOOKUP(AL408,Equip!$A:$N,13,FALSE),0)&lt;=9),INT(VLOOKUP(AL408,Equip!$A:$N,6,FALSE)*SQRT(AP408)),0)</f>
        <v>0</v>
      </c>
      <c r="AV408">
        <f>IF(AND(IFERROR(VLOOKUP(AM408,Equip!$A:$N,13,FALSE),0)&gt;=5,IFERROR(VLOOKUP(AM408,Equip!$A:$N,13,FALSE),0)&lt;=9),INT(VLOOKUP(AM408,Equip!$A:$N,6,FALSE)*SQRT(AQ408)),0)</f>
        <v>0</v>
      </c>
      <c r="AW408">
        <f t="shared" si="1249"/>
        <v>0</v>
      </c>
      <c r="AX408">
        <f t="shared" si="1250"/>
        <v>442</v>
      </c>
      <c r="AY408" s="4" t="s">
        <v>1268</v>
      </c>
    </row>
    <row r="409" spans="1:51" ht="14.25">
      <c r="A409">
        <v>248</v>
      </c>
      <c r="B409" t="s">
        <v>903</v>
      </c>
      <c r="C409" t="s">
        <v>903</v>
      </c>
      <c r="D409">
        <v>2</v>
      </c>
      <c r="E409">
        <f t="shared" si="1321"/>
        <v>2016</v>
      </c>
      <c r="F409">
        <f t="shared" si="1322"/>
        <v>1109</v>
      </c>
      <c r="G409">
        <f t="shared" si="1323"/>
        <v>248</v>
      </c>
      <c r="H409">
        <f t="shared" si="1324"/>
        <v>1</v>
      </c>
      <c r="I409">
        <f t="shared" si="1325"/>
        <v>3</v>
      </c>
      <c r="J409">
        <f t="shared" si="1326"/>
        <v>6</v>
      </c>
      <c r="K409">
        <v>3</v>
      </c>
      <c r="L409">
        <v>4</v>
      </c>
      <c r="M409">
        <v>62</v>
      </c>
      <c r="N409">
        <v>62</v>
      </c>
      <c r="O409">
        <v>57</v>
      </c>
      <c r="P409">
        <v>72</v>
      </c>
      <c r="Q409">
        <v>0</v>
      </c>
      <c r="R409">
        <v>38</v>
      </c>
      <c r="S409">
        <v>35</v>
      </c>
      <c r="T409">
        <v>0</v>
      </c>
      <c r="U409">
        <f t="shared" si="1327"/>
        <v>10</v>
      </c>
      <c r="V409">
        <v>46</v>
      </c>
      <c r="W409">
        <f t="shared" si="1328"/>
        <v>3</v>
      </c>
      <c r="X409">
        <v>17</v>
      </c>
      <c r="Y409">
        <f t="shared" si="1329"/>
        <v>0</v>
      </c>
      <c r="Z409">
        <v>50</v>
      </c>
      <c r="AA409">
        <v>80</v>
      </c>
      <c r="AB409">
        <v>87</v>
      </c>
      <c r="AC409">
        <v>48</v>
      </c>
      <c r="AD409">
        <v>90</v>
      </c>
      <c r="AE409">
        <v>88</v>
      </c>
      <c r="AF409">
        <v>70</v>
      </c>
      <c r="AG409">
        <v>73</v>
      </c>
      <c r="AH409">
        <v>0</v>
      </c>
      <c r="AI409">
        <v>64</v>
      </c>
      <c r="AJ409">
        <v>164</v>
      </c>
      <c r="AK409">
        <v>162</v>
      </c>
      <c r="AL409">
        <v>72</v>
      </c>
      <c r="AM409">
        <v>0</v>
      </c>
      <c r="AN409">
        <v>6</v>
      </c>
      <c r="AO409">
        <v>3</v>
      </c>
      <c r="AP409">
        <v>3</v>
      </c>
      <c r="AQ409">
        <v>3</v>
      </c>
      <c r="AR409">
        <f t="shared" si="1248"/>
        <v>15</v>
      </c>
      <c r="AS409">
        <f>IF(AND(IFERROR(VLOOKUP(AJ409,Equip!$A:$N,13,FALSE),0)&gt;=5,IFERROR(VLOOKUP(AJ409,Equip!$A:$N,13,FALSE),0)&lt;=9),INT(VLOOKUP(AJ409,Equip!$A:$N,6,FALSE)*SQRT(AN409)),0)</f>
        <v>0</v>
      </c>
      <c r="AT409">
        <f>IF(AND(IFERROR(VLOOKUP(AK409,Equip!$A:$N,13,FALSE),0)&gt;=5,IFERROR(VLOOKUP(AK409,Equip!$A:$N,13,FALSE),0)&lt;=9),INT(VLOOKUP(AK409,Equip!$A:$N,6,FALSE)*SQRT(AO409)),0)</f>
        <v>0</v>
      </c>
      <c r="AU409">
        <f>IF(AND(IFERROR(VLOOKUP(AL409,Equip!$A:$N,13,FALSE),0)&gt;=5,IFERROR(VLOOKUP(AL409,Equip!$A:$N,13,FALSE),0)&lt;=9),INT(VLOOKUP(AL409,Equip!$A:$N,6,FALSE)*SQRT(AP409)),0)</f>
        <v>0</v>
      </c>
      <c r="AV409">
        <f>IF(AND(IFERROR(VLOOKUP(AM409,Equip!$A:$N,13,FALSE),0)&gt;=5,IFERROR(VLOOKUP(AM409,Equip!$A:$N,13,FALSE),0)&lt;=9),INT(VLOOKUP(AM409,Equip!$A:$N,6,FALSE)*SQRT(AQ409)),0)</f>
        <v>0</v>
      </c>
      <c r="AW409">
        <f t="shared" si="1249"/>
        <v>0</v>
      </c>
      <c r="AX409">
        <f t="shared" si="1250"/>
        <v>512</v>
      </c>
      <c r="AY409" s="4" t="s">
        <v>1269</v>
      </c>
    </row>
    <row r="410" spans="1:51" ht="14.25">
      <c r="A410">
        <v>249</v>
      </c>
      <c r="B410" t="s">
        <v>904</v>
      </c>
      <c r="C410" t="s">
        <v>904</v>
      </c>
      <c r="D410">
        <v>0</v>
      </c>
      <c r="E410">
        <v>2019</v>
      </c>
      <c r="F410">
        <v>1106</v>
      </c>
      <c r="G410">
        <v>249</v>
      </c>
      <c r="H410">
        <v>1</v>
      </c>
      <c r="I410">
        <v>3</v>
      </c>
      <c r="J410">
        <v>8</v>
      </c>
      <c r="K410">
        <v>3</v>
      </c>
      <c r="L410">
        <v>4</v>
      </c>
      <c r="M410">
        <v>42</v>
      </c>
      <c r="N410">
        <v>42</v>
      </c>
      <c r="O410">
        <v>35</v>
      </c>
      <c r="P410">
        <v>38</v>
      </c>
      <c r="Q410">
        <v>0</v>
      </c>
      <c r="R410">
        <v>32</v>
      </c>
      <c r="S410">
        <v>16</v>
      </c>
      <c r="T410">
        <v>0</v>
      </c>
      <c r="U410">
        <v>10</v>
      </c>
      <c r="V410">
        <v>9</v>
      </c>
      <c r="W410">
        <v>3</v>
      </c>
      <c r="X410">
        <v>9</v>
      </c>
      <c r="Y410">
        <v>0</v>
      </c>
      <c r="Z410">
        <v>45</v>
      </c>
      <c r="AA410">
        <v>60</v>
      </c>
      <c r="AB410">
        <v>59</v>
      </c>
      <c r="AC410">
        <v>32</v>
      </c>
      <c r="AD410">
        <v>64</v>
      </c>
      <c r="AE410">
        <v>53</v>
      </c>
      <c r="AF410">
        <v>49</v>
      </c>
      <c r="AG410">
        <v>58</v>
      </c>
      <c r="AH410">
        <v>0</v>
      </c>
      <c r="AI410">
        <v>35</v>
      </c>
      <c r="AJ410">
        <v>162</v>
      </c>
      <c r="AK410">
        <v>0</v>
      </c>
      <c r="AL410">
        <v>0</v>
      </c>
      <c r="AM410">
        <v>-1</v>
      </c>
      <c r="AN410">
        <v>2</v>
      </c>
      <c r="AO410">
        <v>2</v>
      </c>
      <c r="AP410">
        <v>2</v>
      </c>
      <c r="AQ410">
        <v>0</v>
      </c>
      <c r="AR410">
        <f t="shared" si="1248"/>
        <v>6</v>
      </c>
      <c r="AS410">
        <f>IF(AND(IFERROR(VLOOKUP(AJ410,Equip!$A:$N,13,FALSE),0)&gt;=5,IFERROR(VLOOKUP(AJ410,Equip!$A:$N,13,FALSE),0)&lt;=9),INT(VLOOKUP(AJ410,Equip!$A:$N,6,FALSE)*SQRT(AN410)),0)</f>
        <v>0</v>
      </c>
      <c r="AT410">
        <f>IF(AND(IFERROR(VLOOKUP(AK410,Equip!$A:$N,13,FALSE),0)&gt;=5,IFERROR(VLOOKUP(AK410,Equip!$A:$N,13,FALSE),0)&lt;=9),INT(VLOOKUP(AK410,Equip!$A:$N,6,FALSE)*SQRT(AO410)),0)</f>
        <v>0</v>
      </c>
      <c r="AU410">
        <f>IF(AND(IFERROR(VLOOKUP(AL410,Equip!$A:$N,13,FALSE),0)&gt;=5,IFERROR(VLOOKUP(AL410,Equip!$A:$N,13,FALSE),0)&lt;=9),INT(VLOOKUP(AL410,Equip!$A:$N,6,FALSE)*SQRT(AP410)),0)</f>
        <v>0</v>
      </c>
      <c r="AV410">
        <f>IF(AND(IFERROR(VLOOKUP(AM410,Equip!$A:$N,13,FALSE),0)&gt;=5,IFERROR(VLOOKUP(AM410,Equip!$A:$N,13,FALSE),0)&lt;=9),INT(VLOOKUP(AM410,Equip!$A:$N,6,FALSE)*SQRT(AQ410)),0)</f>
        <v>0</v>
      </c>
      <c r="AW410">
        <f t="shared" si="1249"/>
        <v>0</v>
      </c>
      <c r="AX410">
        <f t="shared" si="1250"/>
        <v>343</v>
      </c>
      <c r="AY410" s="4" t="s">
        <v>1268</v>
      </c>
    </row>
    <row r="411" spans="1:51" ht="14.25">
      <c r="A411">
        <v>249</v>
      </c>
      <c r="B411" t="s">
        <v>904</v>
      </c>
      <c r="C411" t="s">
        <v>904</v>
      </c>
      <c r="D411">
        <v>1</v>
      </c>
      <c r="E411">
        <f>E410</f>
        <v>2019</v>
      </c>
      <c r="F411">
        <f t="shared" ref="F411" si="1330">F410</f>
        <v>1106</v>
      </c>
      <c r="G411">
        <f t="shared" ref="G411" si="1331">G410</f>
        <v>249</v>
      </c>
      <c r="H411">
        <f t="shared" ref="H411" si="1332">H410</f>
        <v>1</v>
      </c>
      <c r="I411">
        <f t="shared" ref="I411" si="1333">I410</f>
        <v>3</v>
      </c>
      <c r="J411">
        <f t="shared" ref="J411" si="1334">J410</f>
        <v>8</v>
      </c>
      <c r="K411">
        <v>3</v>
      </c>
      <c r="L411">
        <v>4</v>
      </c>
      <c r="M411">
        <v>56</v>
      </c>
      <c r="N411">
        <v>56</v>
      </c>
      <c r="O411">
        <v>36</v>
      </c>
      <c r="P411">
        <v>41</v>
      </c>
      <c r="Q411">
        <v>0</v>
      </c>
      <c r="R411">
        <v>37</v>
      </c>
      <c r="S411">
        <v>18</v>
      </c>
      <c r="T411">
        <v>0</v>
      </c>
      <c r="U411">
        <f t="shared" ref="U411" si="1335">U410</f>
        <v>10</v>
      </c>
      <c r="V411">
        <v>12</v>
      </c>
      <c r="W411">
        <f t="shared" ref="W411" si="1336">W410</f>
        <v>3</v>
      </c>
      <c r="X411">
        <v>11</v>
      </c>
      <c r="Y411">
        <f t="shared" ref="Y411" si="1337">Y410</f>
        <v>0</v>
      </c>
      <c r="Z411">
        <v>45</v>
      </c>
      <c r="AA411">
        <v>65</v>
      </c>
      <c r="AB411">
        <v>77</v>
      </c>
      <c r="AC411">
        <v>44</v>
      </c>
      <c r="AD411">
        <v>73</v>
      </c>
      <c r="AE411">
        <v>80</v>
      </c>
      <c r="AF411">
        <v>57</v>
      </c>
      <c r="AG411">
        <v>71</v>
      </c>
      <c r="AH411">
        <v>0</v>
      </c>
      <c r="AI411">
        <v>47</v>
      </c>
      <c r="AJ411">
        <v>162</v>
      </c>
      <c r="AK411">
        <v>164</v>
      </c>
      <c r="AL411">
        <v>0</v>
      </c>
      <c r="AM411">
        <v>0</v>
      </c>
      <c r="AN411">
        <v>2</v>
      </c>
      <c r="AO411">
        <v>2</v>
      </c>
      <c r="AP411">
        <v>2</v>
      </c>
      <c r="AQ411">
        <v>2</v>
      </c>
      <c r="AR411">
        <f t="shared" si="1248"/>
        <v>8</v>
      </c>
      <c r="AS411">
        <f>IF(AND(IFERROR(VLOOKUP(AJ411,Equip!$A:$N,13,FALSE),0)&gt;=5,IFERROR(VLOOKUP(AJ411,Equip!$A:$N,13,FALSE),0)&lt;=9),INT(VLOOKUP(AJ411,Equip!$A:$N,6,FALSE)*SQRT(AN411)),0)</f>
        <v>0</v>
      </c>
      <c r="AT411">
        <f>IF(AND(IFERROR(VLOOKUP(AK411,Equip!$A:$N,13,FALSE),0)&gt;=5,IFERROR(VLOOKUP(AK411,Equip!$A:$N,13,FALSE),0)&lt;=9),INT(VLOOKUP(AK411,Equip!$A:$N,6,FALSE)*SQRT(AO411)),0)</f>
        <v>0</v>
      </c>
      <c r="AU411">
        <f>IF(AND(IFERROR(VLOOKUP(AL411,Equip!$A:$N,13,FALSE),0)&gt;=5,IFERROR(VLOOKUP(AL411,Equip!$A:$N,13,FALSE),0)&lt;=9),INT(VLOOKUP(AL411,Equip!$A:$N,6,FALSE)*SQRT(AP411)),0)</f>
        <v>0</v>
      </c>
      <c r="AV411">
        <f>IF(AND(IFERROR(VLOOKUP(AM411,Equip!$A:$N,13,FALSE),0)&gt;=5,IFERROR(VLOOKUP(AM411,Equip!$A:$N,13,FALSE),0)&lt;=9),INT(VLOOKUP(AM411,Equip!$A:$N,6,FALSE)*SQRT(AQ411)),0)</f>
        <v>0</v>
      </c>
      <c r="AW411">
        <f t="shared" si="1249"/>
        <v>0</v>
      </c>
      <c r="AX411">
        <f t="shared" si="1250"/>
        <v>448</v>
      </c>
      <c r="AY411" s="4" t="s">
        <v>1268</v>
      </c>
    </row>
    <row r="412" spans="1:51">
      <c r="A412">
        <v>251</v>
      </c>
      <c r="B412" t="s">
        <v>905</v>
      </c>
      <c r="C412" t="s">
        <v>905</v>
      </c>
      <c r="D412">
        <v>0</v>
      </c>
      <c r="E412">
        <v>1970</v>
      </c>
      <c r="F412">
        <v>1085</v>
      </c>
      <c r="G412">
        <v>251</v>
      </c>
      <c r="H412">
        <v>2</v>
      </c>
      <c r="I412">
        <v>1</v>
      </c>
      <c r="J412">
        <v>1</v>
      </c>
      <c r="K412">
        <v>10</v>
      </c>
      <c r="L412">
        <v>4</v>
      </c>
      <c r="M412">
        <v>41</v>
      </c>
      <c r="N412">
        <v>41</v>
      </c>
      <c r="O412">
        <v>12</v>
      </c>
      <c r="P412">
        <v>19</v>
      </c>
      <c r="Q412">
        <v>0</v>
      </c>
      <c r="R412">
        <v>19</v>
      </c>
      <c r="S412">
        <v>16</v>
      </c>
      <c r="T412">
        <v>0</v>
      </c>
      <c r="U412">
        <v>5</v>
      </c>
      <c r="V412">
        <v>36</v>
      </c>
      <c r="W412">
        <v>1</v>
      </c>
      <c r="X412">
        <v>8</v>
      </c>
      <c r="Y412">
        <v>0</v>
      </c>
      <c r="Z412">
        <v>35</v>
      </c>
      <c r="AA412">
        <v>35</v>
      </c>
      <c r="AB412">
        <v>36</v>
      </c>
      <c r="AC412">
        <v>32</v>
      </c>
      <c r="AD412">
        <v>32</v>
      </c>
      <c r="AE412">
        <v>42</v>
      </c>
      <c r="AF412">
        <v>39</v>
      </c>
      <c r="AG412">
        <v>37</v>
      </c>
      <c r="AH412">
        <v>0</v>
      </c>
      <c r="AI412">
        <v>74</v>
      </c>
      <c r="AJ412">
        <v>10</v>
      </c>
      <c r="AK412">
        <v>59</v>
      </c>
      <c r="AL412">
        <v>-1</v>
      </c>
      <c r="AM412">
        <v>-1</v>
      </c>
      <c r="AN412">
        <v>12</v>
      </c>
      <c r="AO412">
        <v>12</v>
      </c>
      <c r="AP412">
        <v>0</v>
      </c>
      <c r="AQ412">
        <v>0</v>
      </c>
      <c r="AR412">
        <f t="shared" si="1248"/>
        <v>24</v>
      </c>
      <c r="AS412">
        <f>IF(AND(IFERROR(VLOOKUP(AJ412,Equip!$A:$N,13,FALSE),0)&gt;=5,IFERROR(VLOOKUP(AJ412,Equip!$A:$N,13,FALSE),0)&lt;=9),INT(VLOOKUP(AJ412,Equip!$A:$N,6,FALSE)*SQRT(AN412)),0)</f>
        <v>0</v>
      </c>
      <c r="AT412">
        <f>IF(AND(IFERROR(VLOOKUP(AK412,Equip!$A:$N,13,FALSE),0)&gt;=5,IFERROR(VLOOKUP(AK412,Equip!$A:$N,13,FALSE),0)&lt;=9),INT(VLOOKUP(AK412,Equip!$A:$N,6,FALSE)*SQRT(AO412)),0)</f>
        <v>0</v>
      </c>
      <c r="AU412">
        <f>IF(AND(IFERROR(VLOOKUP(AL412,Equip!$A:$N,13,FALSE),0)&gt;=5,IFERROR(VLOOKUP(AL412,Equip!$A:$N,13,FALSE),0)&lt;=9),INT(VLOOKUP(AL412,Equip!$A:$N,6,FALSE)*SQRT(AP412)),0)</f>
        <v>0</v>
      </c>
      <c r="AV412">
        <f>IF(AND(IFERROR(VLOOKUP(AM412,Equip!$A:$N,13,FALSE),0)&gt;=5,IFERROR(VLOOKUP(AM412,Equip!$A:$N,13,FALSE),0)&lt;=9),INT(VLOOKUP(AM412,Equip!$A:$N,6,FALSE)*SQRT(AQ412)),0)</f>
        <v>0</v>
      </c>
      <c r="AW412">
        <f t="shared" si="1249"/>
        <v>0</v>
      </c>
      <c r="AX412">
        <f t="shared" si="1250"/>
        <v>294</v>
      </c>
    </row>
    <row r="413" spans="1:51">
      <c r="A413">
        <v>251</v>
      </c>
      <c r="B413" t="s">
        <v>905</v>
      </c>
      <c r="C413" t="s">
        <v>905</v>
      </c>
      <c r="D413">
        <v>1</v>
      </c>
      <c r="E413">
        <f>E412</f>
        <v>1970</v>
      </c>
      <c r="F413">
        <f t="shared" ref="F413" si="1338">F412</f>
        <v>1085</v>
      </c>
      <c r="G413">
        <f t="shared" ref="G413" si="1339">G412</f>
        <v>251</v>
      </c>
      <c r="H413">
        <f t="shared" ref="H413" si="1340">H412</f>
        <v>2</v>
      </c>
      <c r="I413">
        <f t="shared" ref="I413" si="1341">I412</f>
        <v>1</v>
      </c>
      <c r="J413">
        <f t="shared" ref="J413" si="1342">J412</f>
        <v>1</v>
      </c>
      <c r="K413">
        <v>10</v>
      </c>
      <c r="L413">
        <v>4</v>
      </c>
      <c r="M413">
        <v>42</v>
      </c>
      <c r="N413">
        <v>42</v>
      </c>
      <c r="O413">
        <v>27</v>
      </c>
      <c r="P413">
        <v>28</v>
      </c>
      <c r="Q413">
        <v>34</v>
      </c>
      <c r="R413">
        <v>24</v>
      </c>
      <c r="S413">
        <v>24</v>
      </c>
      <c r="T413">
        <v>0</v>
      </c>
      <c r="U413">
        <f t="shared" ref="U413" si="1343">U412</f>
        <v>5</v>
      </c>
      <c r="V413">
        <v>38</v>
      </c>
      <c r="W413">
        <f t="shared" ref="W413" si="1344">W412</f>
        <v>1</v>
      </c>
      <c r="X413">
        <v>10</v>
      </c>
      <c r="Y413">
        <f t="shared" ref="Y413" si="1345">Y412</f>
        <v>0</v>
      </c>
      <c r="Z413">
        <v>40</v>
      </c>
      <c r="AA413">
        <v>45</v>
      </c>
      <c r="AB413">
        <v>45</v>
      </c>
      <c r="AC413">
        <v>72</v>
      </c>
      <c r="AD413">
        <v>44</v>
      </c>
      <c r="AE413">
        <v>48</v>
      </c>
      <c r="AF413">
        <v>54</v>
      </c>
      <c r="AG413">
        <v>42</v>
      </c>
      <c r="AH413">
        <v>0</v>
      </c>
      <c r="AI413">
        <v>94</v>
      </c>
      <c r="AJ413">
        <v>59</v>
      </c>
      <c r="AK413">
        <v>41</v>
      </c>
      <c r="AL413">
        <v>39</v>
      </c>
      <c r="AM413">
        <v>-1</v>
      </c>
      <c r="AN413">
        <v>12</v>
      </c>
      <c r="AO413">
        <v>12</v>
      </c>
      <c r="AP413">
        <v>8</v>
      </c>
      <c r="AQ413">
        <v>0</v>
      </c>
      <c r="AR413">
        <f t="shared" si="1248"/>
        <v>32</v>
      </c>
      <c r="AS413">
        <f>IF(AND(IFERROR(VLOOKUP(AJ413,Equip!$A:$N,13,FALSE),0)&gt;=5,IFERROR(VLOOKUP(AJ413,Equip!$A:$N,13,FALSE),0)&lt;=9),INT(VLOOKUP(AJ413,Equip!$A:$N,6,FALSE)*SQRT(AN413)),0)</f>
        <v>0</v>
      </c>
      <c r="AT413">
        <f>IF(AND(IFERROR(VLOOKUP(AK413,Equip!$A:$N,13,FALSE),0)&gt;=5,IFERROR(VLOOKUP(AK413,Equip!$A:$N,13,FALSE),0)&lt;=9),INT(VLOOKUP(AK413,Equip!$A:$N,6,FALSE)*SQRT(AO413)),0)</f>
        <v>0</v>
      </c>
      <c r="AU413">
        <f>IF(AND(IFERROR(VLOOKUP(AL413,Equip!$A:$N,13,FALSE),0)&gt;=5,IFERROR(VLOOKUP(AL413,Equip!$A:$N,13,FALSE),0)&lt;=9),INT(VLOOKUP(AL413,Equip!$A:$N,6,FALSE)*SQRT(AP413)),0)</f>
        <v>0</v>
      </c>
      <c r="AV413">
        <f>IF(AND(IFERROR(VLOOKUP(AM413,Equip!$A:$N,13,FALSE),0)&gt;=5,IFERROR(VLOOKUP(AM413,Equip!$A:$N,13,FALSE),0)&lt;=9),INT(VLOOKUP(AM413,Equip!$A:$N,6,FALSE)*SQRT(AQ413)),0)</f>
        <v>0</v>
      </c>
      <c r="AW413">
        <f t="shared" si="1249"/>
        <v>0</v>
      </c>
      <c r="AX413">
        <f t="shared" si="1250"/>
        <v>387</v>
      </c>
    </row>
    <row r="414" spans="1:51">
      <c r="A414">
        <v>252</v>
      </c>
      <c r="B414" t="s">
        <v>906</v>
      </c>
      <c r="C414" t="s">
        <v>906</v>
      </c>
      <c r="D414">
        <v>0</v>
      </c>
      <c r="E414">
        <v>1318</v>
      </c>
      <c r="F414">
        <v>758</v>
      </c>
      <c r="G414">
        <v>252</v>
      </c>
      <c r="H414">
        <v>1</v>
      </c>
      <c r="I414">
        <v>1</v>
      </c>
      <c r="J414">
        <v>7</v>
      </c>
      <c r="K414">
        <v>1</v>
      </c>
      <c r="L414">
        <v>1</v>
      </c>
      <c r="M414">
        <v>16</v>
      </c>
      <c r="N414">
        <v>16</v>
      </c>
      <c r="O414">
        <v>10</v>
      </c>
      <c r="P414">
        <v>6</v>
      </c>
      <c r="Q414">
        <v>24</v>
      </c>
      <c r="R414">
        <v>47</v>
      </c>
      <c r="S414">
        <v>9</v>
      </c>
      <c r="T414">
        <v>28</v>
      </c>
      <c r="U414">
        <v>10</v>
      </c>
      <c r="V414">
        <v>7</v>
      </c>
      <c r="W414">
        <v>1</v>
      </c>
      <c r="X414">
        <v>10</v>
      </c>
      <c r="Y414">
        <v>0</v>
      </c>
      <c r="Z414">
        <v>15</v>
      </c>
      <c r="AA414">
        <v>20</v>
      </c>
      <c r="AB414">
        <v>30</v>
      </c>
      <c r="AC414">
        <v>69</v>
      </c>
      <c r="AD414">
        <v>38</v>
      </c>
      <c r="AE414">
        <v>19</v>
      </c>
      <c r="AF414">
        <v>49</v>
      </c>
      <c r="AG414">
        <v>80</v>
      </c>
      <c r="AH414">
        <v>53</v>
      </c>
      <c r="AI414">
        <v>21</v>
      </c>
      <c r="AJ414">
        <v>2</v>
      </c>
      <c r="AK414">
        <v>39</v>
      </c>
      <c r="AL414">
        <v>-1</v>
      </c>
      <c r="AM414">
        <v>-1</v>
      </c>
      <c r="AN414">
        <v>0</v>
      </c>
      <c r="AO414">
        <v>0</v>
      </c>
      <c r="AP414">
        <v>0</v>
      </c>
      <c r="AQ414">
        <v>0</v>
      </c>
      <c r="AR414">
        <f t="shared" si="1248"/>
        <v>0</v>
      </c>
      <c r="AS414">
        <f>IF(AND(IFERROR(VLOOKUP(AJ414,Equip!$A:$N,13,FALSE),0)&gt;=5,IFERROR(VLOOKUP(AJ414,Equip!$A:$N,13,FALSE),0)&lt;=9),INT(VLOOKUP(AJ414,Equip!$A:$N,6,FALSE)*SQRT(AN414)),0)</f>
        <v>0</v>
      </c>
      <c r="AT414">
        <f>IF(AND(IFERROR(VLOOKUP(AK414,Equip!$A:$N,13,FALSE),0)&gt;=5,IFERROR(VLOOKUP(AK414,Equip!$A:$N,13,FALSE),0)&lt;=9),INT(VLOOKUP(AK414,Equip!$A:$N,6,FALSE)*SQRT(AO414)),0)</f>
        <v>0</v>
      </c>
      <c r="AU414">
        <f>IF(AND(IFERROR(VLOOKUP(AL414,Equip!$A:$N,13,FALSE),0)&gt;=5,IFERROR(VLOOKUP(AL414,Equip!$A:$N,13,FALSE),0)&lt;=9),INT(VLOOKUP(AL414,Equip!$A:$N,6,FALSE)*SQRT(AP414)),0)</f>
        <v>0</v>
      </c>
      <c r="AV414">
        <f>IF(AND(IFERROR(VLOOKUP(AM414,Equip!$A:$N,13,FALSE),0)&gt;=5,IFERROR(VLOOKUP(AM414,Equip!$A:$N,13,FALSE),0)&lt;=9),INT(VLOOKUP(AM414,Equip!$A:$N,6,FALSE)*SQRT(AQ414)),0)</f>
        <v>0</v>
      </c>
      <c r="AW414">
        <f t="shared" si="1249"/>
        <v>0</v>
      </c>
      <c r="AX414">
        <f t="shared" si="1250"/>
        <v>326</v>
      </c>
    </row>
    <row r="415" spans="1:51">
      <c r="A415">
        <v>252</v>
      </c>
      <c r="B415" t="s">
        <v>906</v>
      </c>
      <c r="C415" t="s">
        <v>906</v>
      </c>
      <c r="D415">
        <v>1</v>
      </c>
      <c r="E415">
        <f>E414</f>
        <v>1318</v>
      </c>
      <c r="F415">
        <f t="shared" ref="F415" si="1346">F414</f>
        <v>758</v>
      </c>
      <c r="G415">
        <f t="shared" ref="G415" si="1347">G414</f>
        <v>252</v>
      </c>
      <c r="H415">
        <f t="shared" ref="H415" si="1348">H414</f>
        <v>1</v>
      </c>
      <c r="I415">
        <f t="shared" ref="I415" si="1349">I414</f>
        <v>1</v>
      </c>
      <c r="J415">
        <f t="shared" ref="J415" si="1350">J414</f>
        <v>7</v>
      </c>
      <c r="K415">
        <v>1</v>
      </c>
      <c r="L415">
        <v>1</v>
      </c>
      <c r="M415">
        <v>32</v>
      </c>
      <c r="N415">
        <v>32</v>
      </c>
      <c r="O415">
        <v>10</v>
      </c>
      <c r="P415">
        <v>6</v>
      </c>
      <c r="Q415">
        <v>24</v>
      </c>
      <c r="R415">
        <v>48</v>
      </c>
      <c r="S415">
        <v>9</v>
      </c>
      <c r="T415">
        <v>32</v>
      </c>
      <c r="U415">
        <f t="shared" ref="U415" si="1351">U414</f>
        <v>10</v>
      </c>
      <c r="V415">
        <v>9</v>
      </c>
      <c r="W415">
        <f t="shared" ref="W415" si="1352">W414</f>
        <v>1</v>
      </c>
      <c r="X415">
        <v>12</v>
      </c>
      <c r="Y415">
        <f t="shared" ref="Y415" si="1353">Y414</f>
        <v>0</v>
      </c>
      <c r="Z415">
        <v>15</v>
      </c>
      <c r="AA415">
        <v>20</v>
      </c>
      <c r="AB415">
        <v>50</v>
      </c>
      <c r="AC415">
        <v>81</v>
      </c>
      <c r="AD415">
        <v>50</v>
      </c>
      <c r="AE415">
        <v>49</v>
      </c>
      <c r="AF415">
        <v>59</v>
      </c>
      <c r="AG415">
        <v>90</v>
      </c>
      <c r="AH415">
        <v>70</v>
      </c>
      <c r="AI415">
        <v>42</v>
      </c>
      <c r="AJ415">
        <v>27</v>
      </c>
      <c r="AK415">
        <v>28</v>
      </c>
      <c r="AL415">
        <v>40</v>
      </c>
      <c r="AM415">
        <v>-1</v>
      </c>
      <c r="AN415">
        <v>0</v>
      </c>
      <c r="AO415">
        <v>0</v>
      </c>
      <c r="AP415">
        <v>0</v>
      </c>
      <c r="AQ415">
        <v>0</v>
      </c>
      <c r="AR415">
        <f t="shared" si="1248"/>
        <v>0</v>
      </c>
      <c r="AS415">
        <f>IF(AND(IFERROR(VLOOKUP(AJ415,Equip!$A:$N,13,FALSE),0)&gt;=5,IFERROR(VLOOKUP(AJ415,Equip!$A:$N,13,FALSE),0)&lt;=9),INT(VLOOKUP(AJ415,Equip!$A:$N,6,FALSE)*SQRT(AN415)),0)</f>
        <v>0</v>
      </c>
      <c r="AT415">
        <f>IF(AND(IFERROR(VLOOKUP(AK415,Equip!$A:$N,13,FALSE),0)&gt;=5,IFERROR(VLOOKUP(AK415,Equip!$A:$N,13,FALSE),0)&lt;=9),INT(VLOOKUP(AK415,Equip!$A:$N,6,FALSE)*SQRT(AO415)),0)</f>
        <v>0</v>
      </c>
      <c r="AU415">
        <f>IF(AND(IFERROR(VLOOKUP(AL415,Equip!$A:$N,13,FALSE),0)&gt;=5,IFERROR(VLOOKUP(AL415,Equip!$A:$N,13,FALSE),0)&lt;=9),INT(VLOOKUP(AL415,Equip!$A:$N,6,FALSE)*SQRT(AP415)),0)</f>
        <v>0</v>
      </c>
      <c r="AV415">
        <f>IF(AND(IFERROR(VLOOKUP(AM415,Equip!$A:$N,13,FALSE),0)&gt;=5,IFERROR(VLOOKUP(AM415,Equip!$A:$N,13,FALSE),0)&lt;=9),INT(VLOOKUP(AM415,Equip!$A:$N,6,FALSE)*SQRT(AQ415)),0)</f>
        <v>0</v>
      </c>
      <c r="AW415">
        <f t="shared" si="1249"/>
        <v>0</v>
      </c>
      <c r="AX415">
        <f t="shared" si="1250"/>
        <v>464</v>
      </c>
    </row>
    <row r="416" spans="1:51">
      <c r="A416">
        <v>253</v>
      </c>
      <c r="B416" t="s">
        <v>907</v>
      </c>
      <c r="C416" t="s">
        <v>907</v>
      </c>
      <c r="D416">
        <v>0</v>
      </c>
      <c r="E416">
        <v>1340</v>
      </c>
      <c r="F416">
        <v>770</v>
      </c>
      <c r="G416">
        <v>253</v>
      </c>
      <c r="H416">
        <v>1</v>
      </c>
      <c r="I416">
        <v>1</v>
      </c>
      <c r="J416">
        <v>3</v>
      </c>
      <c r="K416">
        <v>1</v>
      </c>
      <c r="L416">
        <v>1</v>
      </c>
      <c r="M416">
        <v>16</v>
      </c>
      <c r="N416">
        <v>16</v>
      </c>
      <c r="O416">
        <v>10</v>
      </c>
      <c r="P416">
        <v>6</v>
      </c>
      <c r="Q416">
        <v>25</v>
      </c>
      <c r="R416">
        <v>47</v>
      </c>
      <c r="S416">
        <v>10</v>
      </c>
      <c r="T416">
        <v>27</v>
      </c>
      <c r="U416">
        <v>10</v>
      </c>
      <c r="V416">
        <v>6</v>
      </c>
      <c r="W416">
        <v>1</v>
      </c>
      <c r="X416">
        <v>13</v>
      </c>
      <c r="Y416">
        <v>0</v>
      </c>
      <c r="Z416">
        <v>15</v>
      </c>
      <c r="AA416">
        <v>20</v>
      </c>
      <c r="AB416">
        <v>30</v>
      </c>
      <c r="AC416">
        <v>70</v>
      </c>
      <c r="AD416">
        <v>40</v>
      </c>
      <c r="AE416">
        <v>19</v>
      </c>
      <c r="AF416">
        <v>54</v>
      </c>
      <c r="AG416">
        <v>80</v>
      </c>
      <c r="AH416">
        <v>52</v>
      </c>
      <c r="AI416">
        <v>19</v>
      </c>
      <c r="AJ416">
        <v>2</v>
      </c>
      <c r="AK416">
        <v>39</v>
      </c>
      <c r="AL416">
        <v>-1</v>
      </c>
      <c r="AM416">
        <v>-1</v>
      </c>
      <c r="AN416">
        <v>0</v>
      </c>
      <c r="AO416">
        <v>0</v>
      </c>
      <c r="AP416">
        <v>0</v>
      </c>
      <c r="AQ416">
        <v>0</v>
      </c>
      <c r="AR416">
        <f t="shared" si="1248"/>
        <v>0</v>
      </c>
      <c r="AS416">
        <f>IF(AND(IFERROR(VLOOKUP(AJ416,Equip!$A:$N,13,FALSE),0)&gt;=5,IFERROR(VLOOKUP(AJ416,Equip!$A:$N,13,FALSE),0)&lt;=9),INT(VLOOKUP(AJ416,Equip!$A:$N,6,FALSE)*SQRT(AN416)),0)</f>
        <v>0</v>
      </c>
      <c r="AT416">
        <f>IF(AND(IFERROR(VLOOKUP(AK416,Equip!$A:$N,13,FALSE),0)&gt;=5,IFERROR(VLOOKUP(AK416,Equip!$A:$N,13,FALSE),0)&lt;=9),INT(VLOOKUP(AK416,Equip!$A:$N,6,FALSE)*SQRT(AO416)),0)</f>
        <v>0</v>
      </c>
      <c r="AU416">
        <f>IF(AND(IFERROR(VLOOKUP(AL416,Equip!$A:$N,13,FALSE),0)&gt;=5,IFERROR(VLOOKUP(AL416,Equip!$A:$N,13,FALSE),0)&lt;=9),INT(VLOOKUP(AL416,Equip!$A:$N,6,FALSE)*SQRT(AP416)),0)</f>
        <v>0</v>
      </c>
      <c r="AV416">
        <f>IF(AND(IFERROR(VLOOKUP(AM416,Equip!$A:$N,13,FALSE),0)&gt;=5,IFERROR(VLOOKUP(AM416,Equip!$A:$N,13,FALSE),0)&lt;=9),INT(VLOOKUP(AM416,Equip!$A:$N,6,FALSE)*SQRT(AQ416)),0)</f>
        <v>0</v>
      </c>
      <c r="AW416">
        <f t="shared" si="1249"/>
        <v>0</v>
      </c>
      <c r="AX416">
        <f t="shared" si="1250"/>
        <v>326</v>
      </c>
    </row>
    <row r="417" spans="1:50">
      <c r="A417">
        <v>253</v>
      </c>
      <c r="B417" t="s">
        <v>907</v>
      </c>
      <c r="C417" t="s">
        <v>907</v>
      </c>
      <c r="D417">
        <v>1</v>
      </c>
      <c r="E417">
        <f>E416</f>
        <v>1340</v>
      </c>
      <c r="F417">
        <f t="shared" ref="F417" si="1354">F416</f>
        <v>770</v>
      </c>
      <c r="G417">
        <f t="shared" ref="G417" si="1355">G416</f>
        <v>253</v>
      </c>
      <c r="H417">
        <f t="shared" ref="H417" si="1356">H416</f>
        <v>1</v>
      </c>
      <c r="I417">
        <f t="shared" ref="I417" si="1357">I416</f>
        <v>1</v>
      </c>
      <c r="J417">
        <f t="shared" ref="J417" si="1358">J416</f>
        <v>3</v>
      </c>
      <c r="K417">
        <v>1</v>
      </c>
      <c r="L417">
        <v>1</v>
      </c>
      <c r="M417">
        <v>32</v>
      </c>
      <c r="N417">
        <v>32</v>
      </c>
      <c r="O417">
        <v>10</v>
      </c>
      <c r="P417">
        <v>6</v>
      </c>
      <c r="Q417">
        <v>25</v>
      </c>
      <c r="R417">
        <v>48</v>
      </c>
      <c r="S417">
        <v>10</v>
      </c>
      <c r="T417">
        <v>30</v>
      </c>
      <c r="U417">
        <f t="shared" ref="U417" si="1359">U416</f>
        <v>10</v>
      </c>
      <c r="V417">
        <v>9</v>
      </c>
      <c r="W417">
        <f t="shared" ref="W417" si="1360">W416</f>
        <v>1</v>
      </c>
      <c r="X417">
        <v>14</v>
      </c>
      <c r="Y417">
        <f t="shared" ref="Y417" si="1361">Y416</f>
        <v>0</v>
      </c>
      <c r="Z417">
        <v>15</v>
      </c>
      <c r="AA417">
        <v>20</v>
      </c>
      <c r="AB417">
        <v>50</v>
      </c>
      <c r="AC417">
        <v>81</v>
      </c>
      <c r="AD417">
        <v>51</v>
      </c>
      <c r="AE417">
        <v>49</v>
      </c>
      <c r="AF417">
        <v>69</v>
      </c>
      <c r="AG417">
        <v>90</v>
      </c>
      <c r="AH417">
        <v>69</v>
      </c>
      <c r="AI417">
        <v>42</v>
      </c>
      <c r="AJ417">
        <v>129</v>
      </c>
      <c r="AK417">
        <v>28</v>
      </c>
      <c r="AL417">
        <v>27</v>
      </c>
      <c r="AM417">
        <v>-1</v>
      </c>
      <c r="AN417">
        <v>0</v>
      </c>
      <c r="AO417">
        <v>0</v>
      </c>
      <c r="AP417">
        <v>0</v>
      </c>
      <c r="AQ417">
        <v>0</v>
      </c>
      <c r="AR417">
        <f t="shared" si="1248"/>
        <v>0</v>
      </c>
      <c r="AS417">
        <f>IF(AND(IFERROR(VLOOKUP(AJ417,Equip!$A:$N,13,FALSE),0)&gt;=5,IFERROR(VLOOKUP(AJ417,Equip!$A:$N,13,FALSE),0)&lt;=9),INT(VLOOKUP(AJ417,Equip!$A:$N,6,FALSE)*SQRT(AN417)),0)</f>
        <v>0</v>
      </c>
      <c r="AT417">
        <f>IF(AND(IFERROR(VLOOKUP(AK417,Equip!$A:$N,13,FALSE),0)&gt;=5,IFERROR(VLOOKUP(AK417,Equip!$A:$N,13,FALSE),0)&lt;=9),INT(VLOOKUP(AK417,Equip!$A:$N,6,FALSE)*SQRT(AO417)),0)</f>
        <v>0</v>
      </c>
      <c r="AU417">
        <f>IF(AND(IFERROR(VLOOKUP(AL417,Equip!$A:$N,13,FALSE),0)&gt;=5,IFERROR(VLOOKUP(AL417,Equip!$A:$N,13,FALSE),0)&lt;=9),INT(VLOOKUP(AL417,Equip!$A:$N,6,FALSE)*SQRT(AP417)),0)</f>
        <v>0</v>
      </c>
      <c r="AV417">
        <f>IF(AND(IFERROR(VLOOKUP(AM417,Equip!$A:$N,13,FALSE),0)&gt;=5,IFERROR(VLOOKUP(AM417,Equip!$A:$N,13,FALSE),0)&lt;=9),INT(VLOOKUP(AM417,Equip!$A:$N,6,FALSE)*SQRT(AQ417)),0)</f>
        <v>0</v>
      </c>
      <c r="AW417">
        <f t="shared" si="1249"/>
        <v>0</v>
      </c>
      <c r="AX417">
        <f t="shared" si="1250"/>
        <v>464</v>
      </c>
    </row>
    <row r="418" spans="1:50">
      <c r="A418">
        <v>254</v>
      </c>
      <c r="B418" t="s">
        <v>908</v>
      </c>
      <c r="C418" t="s">
        <v>908</v>
      </c>
      <c r="D418">
        <v>0</v>
      </c>
      <c r="E418">
        <v>1320</v>
      </c>
      <c r="F418">
        <v>770</v>
      </c>
      <c r="G418">
        <v>254</v>
      </c>
      <c r="H418">
        <v>1</v>
      </c>
      <c r="I418">
        <v>1</v>
      </c>
      <c r="J418">
        <v>2</v>
      </c>
      <c r="K418">
        <v>1</v>
      </c>
      <c r="L418">
        <v>1</v>
      </c>
      <c r="M418">
        <v>16</v>
      </c>
      <c r="N418">
        <v>16</v>
      </c>
      <c r="O418">
        <v>10</v>
      </c>
      <c r="P418">
        <v>6</v>
      </c>
      <c r="Q418">
        <v>24</v>
      </c>
      <c r="R418">
        <v>44</v>
      </c>
      <c r="S418">
        <v>9</v>
      </c>
      <c r="T418">
        <v>28</v>
      </c>
      <c r="U418">
        <v>10</v>
      </c>
      <c r="V418">
        <v>6</v>
      </c>
      <c r="W418">
        <v>1</v>
      </c>
      <c r="X418">
        <v>11</v>
      </c>
      <c r="Y418">
        <v>0</v>
      </c>
      <c r="Z418">
        <v>15</v>
      </c>
      <c r="AA418">
        <v>20</v>
      </c>
      <c r="AB418">
        <v>29</v>
      </c>
      <c r="AC418">
        <v>69</v>
      </c>
      <c r="AD418">
        <v>39</v>
      </c>
      <c r="AE418">
        <v>19</v>
      </c>
      <c r="AF418">
        <v>49</v>
      </c>
      <c r="AG418">
        <v>79</v>
      </c>
      <c r="AH418">
        <v>62</v>
      </c>
      <c r="AI418">
        <v>19</v>
      </c>
      <c r="AJ418">
        <v>2</v>
      </c>
      <c r="AK418">
        <v>44</v>
      </c>
      <c r="AL418">
        <v>-1</v>
      </c>
      <c r="AM418">
        <v>-1</v>
      </c>
      <c r="AN418">
        <v>0</v>
      </c>
      <c r="AO418">
        <v>0</v>
      </c>
      <c r="AP418">
        <v>0</v>
      </c>
      <c r="AQ418">
        <v>0</v>
      </c>
      <c r="AR418">
        <f t="shared" si="1248"/>
        <v>0</v>
      </c>
      <c r="AS418">
        <f>IF(AND(IFERROR(VLOOKUP(AJ418,Equip!$A:$N,13,FALSE),0)&gt;=5,IFERROR(VLOOKUP(AJ418,Equip!$A:$N,13,FALSE),0)&lt;=9),INT(VLOOKUP(AJ418,Equip!$A:$N,6,FALSE)*SQRT(AN418)),0)</f>
        <v>0</v>
      </c>
      <c r="AT418">
        <f>IF(AND(IFERROR(VLOOKUP(AK418,Equip!$A:$N,13,FALSE),0)&gt;=5,IFERROR(VLOOKUP(AK418,Equip!$A:$N,13,FALSE),0)&lt;=9),INT(VLOOKUP(AK418,Equip!$A:$N,6,FALSE)*SQRT(AO418)),0)</f>
        <v>0</v>
      </c>
      <c r="AU418">
        <f>IF(AND(IFERROR(VLOOKUP(AL418,Equip!$A:$N,13,FALSE),0)&gt;=5,IFERROR(VLOOKUP(AL418,Equip!$A:$N,13,FALSE),0)&lt;=9),INT(VLOOKUP(AL418,Equip!$A:$N,6,FALSE)*SQRT(AP418)),0)</f>
        <v>0</v>
      </c>
      <c r="AV418">
        <f>IF(AND(IFERROR(VLOOKUP(AM418,Equip!$A:$N,13,FALSE),0)&gt;=5,IFERROR(VLOOKUP(AM418,Equip!$A:$N,13,FALSE),0)&lt;=9),INT(VLOOKUP(AM418,Equip!$A:$N,6,FALSE)*SQRT(AQ418)),0)</f>
        <v>0</v>
      </c>
      <c r="AW418">
        <f t="shared" si="1249"/>
        <v>0</v>
      </c>
      <c r="AX418">
        <f t="shared" si="1250"/>
        <v>332</v>
      </c>
    </row>
    <row r="419" spans="1:50">
      <c r="A419">
        <v>254</v>
      </c>
      <c r="B419" t="s">
        <v>908</v>
      </c>
      <c r="C419" t="s">
        <v>908</v>
      </c>
      <c r="D419">
        <v>1</v>
      </c>
      <c r="E419">
        <f>E418</f>
        <v>1320</v>
      </c>
      <c r="F419">
        <f t="shared" ref="F419" si="1362">F418</f>
        <v>770</v>
      </c>
      <c r="G419">
        <f t="shared" ref="G419" si="1363">G418</f>
        <v>254</v>
      </c>
      <c r="H419">
        <f t="shared" ref="H419" si="1364">H418</f>
        <v>1</v>
      </c>
      <c r="I419">
        <f t="shared" ref="I419" si="1365">I418</f>
        <v>1</v>
      </c>
      <c r="J419">
        <f t="shared" ref="J419" si="1366">J418</f>
        <v>2</v>
      </c>
      <c r="K419">
        <v>1</v>
      </c>
      <c r="L419">
        <v>1</v>
      </c>
      <c r="M419">
        <v>32</v>
      </c>
      <c r="N419">
        <v>32</v>
      </c>
      <c r="O419">
        <v>10</v>
      </c>
      <c r="P419">
        <v>6</v>
      </c>
      <c r="Q419">
        <v>24</v>
      </c>
      <c r="R419">
        <v>60</v>
      </c>
      <c r="S419">
        <v>9</v>
      </c>
      <c r="T419">
        <v>44</v>
      </c>
      <c r="U419">
        <f t="shared" ref="U419" si="1367">U418</f>
        <v>10</v>
      </c>
      <c r="V419">
        <v>18</v>
      </c>
      <c r="W419">
        <f t="shared" ref="W419" si="1368">W418</f>
        <v>1</v>
      </c>
      <c r="X419">
        <v>12</v>
      </c>
      <c r="Y419">
        <f t="shared" ref="Y419" si="1369">Y418</f>
        <v>0</v>
      </c>
      <c r="Z419">
        <v>15</v>
      </c>
      <c r="AA419">
        <v>20</v>
      </c>
      <c r="AB419">
        <v>49</v>
      </c>
      <c r="AC419">
        <v>79</v>
      </c>
      <c r="AD419">
        <v>49</v>
      </c>
      <c r="AE419">
        <v>49</v>
      </c>
      <c r="AF419">
        <v>63</v>
      </c>
      <c r="AG419">
        <v>87</v>
      </c>
      <c r="AH419">
        <v>70</v>
      </c>
      <c r="AI419">
        <v>39</v>
      </c>
      <c r="AJ419">
        <v>91</v>
      </c>
      <c r="AK419">
        <v>45</v>
      </c>
      <c r="AL419">
        <v>0</v>
      </c>
      <c r="AM419">
        <v>-1</v>
      </c>
      <c r="AN419">
        <v>0</v>
      </c>
      <c r="AO419">
        <v>0</v>
      </c>
      <c r="AP419">
        <v>0</v>
      </c>
      <c r="AQ419">
        <v>0</v>
      </c>
      <c r="AR419">
        <f t="shared" si="1248"/>
        <v>0</v>
      </c>
      <c r="AS419">
        <f>IF(AND(IFERROR(VLOOKUP(AJ419,Equip!$A:$N,13,FALSE),0)&gt;=5,IFERROR(VLOOKUP(AJ419,Equip!$A:$N,13,FALSE),0)&lt;=9),INT(VLOOKUP(AJ419,Equip!$A:$N,6,FALSE)*SQRT(AN419)),0)</f>
        <v>0</v>
      </c>
      <c r="AT419">
        <f>IF(AND(IFERROR(VLOOKUP(AK419,Equip!$A:$N,13,FALSE),0)&gt;=5,IFERROR(VLOOKUP(AK419,Equip!$A:$N,13,FALSE),0)&lt;=9),INT(VLOOKUP(AK419,Equip!$A:$N,6,FALSE)*SQRT(AO419)),0)</f>
        <v>0</v>
      </c>
      <c r="AU419">
        <f>IF(AND(IFERROR(VLOOKUP(AL419,Equip!$A:$N,13,FALSE),0)&gt;=5,IFERROR(VLOOKUP(AL419,Equip!$A:$N,13,FALSE),0)&lt;=9),INT(VLOOKUP(AL419,Equip!$A:$N,6,FALSE)*SQRT(AP419)),0)</f>
        <v>0</v>
      </c>
      <c r="AV419">
        <f>IF(AND(IFERROR(VLOOKUP(AM419,Equip!$A:$N,13,FALSE),0)&gt;=5,IFERROR(VLOOKUP(AM419,Equip!$A:$N,13,FALSE),0)&lt;=9),INT(VLOOKUP(AM419,Equip!$A:$N,6,FALSE)*SQRT(AQ419)),0)</f>
        <v>0</v>
      </c>
      <c r="AW419">
        <f t="shared" si="1249"/>
        <v>0</v>
      </c>
      <c r="AX419">
        <f t="shared" si="1250"/>
        <v>454</v>
      </c>
    </row>
    <row r="420" spans="1:50">
      <c r="A420">
        <v>255</v>
      </c>
      <c r="B420" t="s">
        <v>909</v>
      </c>
      <c r="C420" t="s">
        <v>909</v>
      </c>
      <c r="D420">
        <v>0</v>
      </c>
      <c r="E420">
        <v>1320</v>
      </c>
      <c r="F420">
        <v>760</v>
      </c>
      <c r="G420">
        <v>255</v>
      </c>
      <c r="H420">
        <v>1</v>
      </c>
      <c r="I420">
        <v>1</v>
      </c>
      <c r="J420">
        <v>0</v>
      </c>
      <c r="K420">
        <v>1</v>
      </c>
      <c r="L420">
        <v>1</v>
      </c>
      <c r="M420">
        <v>16</v>
      </c>
      <c r="N420">
        <v>16</v>
      </c>
      <c r="O420">
        <v>11</v>
      </c>
      <c r="P420">
        <v>6</v>
      </c>
      <c r="Q420">
        <v>24</v>
      </c>
      <c r="R420">
        <v>44</v>
      </c>
      <c r="S420">
        <v>9</v>
      </c>
      <c r="T420">
        <v>26</v>
      </c>
      <c r="U420">
        <v>10</v>
      </c>
      <c r="V420">
        <v>6</v>
      </c>
      <c r="W420">
        <v>1</v>
      </c>
      <c r="X420">
        <v>11</v>
      </c>
      <c r="Y420">
        <v>0</v>
      </c>
      <c r="Z420">
        <v>15</v>
      </c>
      <c r="AA420">
        <v>20</v>
      </c>
      <c r="AB420">
        <v>30</v>
      </c>
      <c r="AC420">
        <v>69</v>
      </c>
      <c r="AD420">
        <v>39</v>
      </c>
      <c r="AE420">
        <v>19</v>
      </c>
      <c r="AF420">
        <v>49</v>
      </c>
      <c r="AG420">
        <v>79</v>
      </c>
      <c r="AH420">
        <v>59</v>
      </c>
      <c r="AI420">
        <v>19</v>
      </c>
      <c r="AJ420">
        <v>2</v>
      </c>
      <c r="AK420">
        <v>39</v>
      </c>
      <c r="AL420">
        <v>-1</v>
      </c>
      <c r="AM420">
        <v>-1</v>
      </c>
      <c r="AN420">
        <v>0</v>
      </c>
      <c r="AO420">
        <v>0</v>
      </c>
      <c r="AP420">
        <v>0</v>
      </c>
      <c r="AQ420">
        <v>0</v>
      </c>
      <c r="AR420">
        <f t="shared" si="1248"/>
        <v>0</v>
      </c>
      <c r="AS420">
        <f>IF(AND(IFERROR(VLOOKUP(AJ420,Equip!$A:$N,13,FALSE),0)&gt;=5,IFERROR(VLOOKUP(AJ420,Equip!$A:$N,13,FALSE),0)&lt;=9),INT(VLOOKUP(AJ420,Equip!$A:$N,6,FALSE)*SQRT(AN420)),0)</f>
        <v>0</v>
      </c>
      <c r="AT420">
        <f>IF(AND(IFERROR(VLOOKUP(AK420,Equip!$A:$N,13,FALSE),0)&gt;=5,IFERROR(VLOOKUP(AK420,Equip!$A:$N,13,FALSE),0)&lt;=9),INT(VLOOKUP(AK420,Equip!$A:$N,6,FALSE)*SQRT(AO420)),0)</f>
        <v>0</v>
      </c>
      <c r="AU420">
        <f>IF(AND(IFERROR(VLOOKUP(AL420,Equip!$A:$N,13,FALSE),0)&gt;=5,IFERROR(VLOOKUP(AL420,Equip!$A:$N,13,FALSE),0)&lt;=9),INT(VLOOKUP(AL420,Equip!$A:$N,6,FALSE)*SQRT(AP420)),0)</f>
        <v>0</v>
      </c>
      <c r="AV420">
        <f>IF(AND(IFERROR(VLOOKUP(AM420,Equip!$A:$N,13,FALSE),0)&gt;=5,IFERROR(VLOOKUP(AM420,Equip!$A:$N,13,FALSE),0)&lt;=9),INT(VLOOKUP(AM420,Equip!$A:$N,6,FALSE)*SQRT(AQ420)),0)</f>
        <v>0</v>
      </c>
      <c r="AW420">
        <f t="shared" si="1249"/>
        <v>0</v>
      </c>
      <c r="AX420">
        <f t="shared" si="1250"/>
        <v>330</v>
      </c>
    </row>
    <row r="421" spans="1:50">
      <c r="A421">
        <v>255</v>
      </c>
      <c r="B421" t="s">
        <v>909</v>
      </c>
      <c r="C421" t="s">
        <v>909</v>
      </c>
      <c r="D421">
        <v>1</v>
      </c>
      <c r="E421">
        <f>E420</f>
        <v>1320</v>
      </c>
      <c r="F421">
        <f t="shared" ref="F421" si="1370">F420</f>
        <v>760</v>
      </c>
      <c r="G421">
        <f t="shared" ref="G421" si="1371">G420</f>
        <v>255</v>
      </c>
      <c r="H421">
        <f t="shared" ref="H421" si="1372">H420</f>
        <v>1</v>
      </c>
      <c r="I421">
        <f t="shared" ref="I421" si="1373">I420</f>
        <v>1</v>
      </c>
      <c r="J421">
        <f t="shared" ref="J421" si="1374">J420</f>
        <v>0</v>
      </c>
      <c r="K421">
        <v>1</v>
      </c>
      <c r="L421">
        <v>1</v>
      </c>
      <c r="M421">
        <v>32</v>
      </c>
      <c r="N421">
        <v>32</v>
      </c>
      <c r="O421">
        <v>11</v>
      </c>
      <c r="P421">
        <v>6</v>
      </c>
      <c r="Q421">
        <v>24</v>
      </c>
      <c r="R421">
        <v>60</v>
      </c>
      <c r="S421">
        <v>9</v>
      </c>
      <c r="T421">
        <v>42</v>
      </c>
      <c r="U421">
        <f t="shared" ref="U421" si="1375">U420</f>
        <v>10</v>
      </c>
      <c r="V421">
        <v>19</v>
      </c>
      <c r="W421">
        <f t="shared" ref="W421" si="1376">W420</f>
        <v>1</v>
      </c>
      <c r="X421">
        <v>12</v>
      </c>
      <c r="Y421">
        <f t="shared" ref="Y421" si="1377">Y420</f>
        <v>0</v>
      </c>
      <c r="Z421">
        <v>15</v>
      </c>
      <c r="AA421">
        <v>20</v>
      </c>
      <c r="AB421">
        <v>50</v>
      </c>
      <c r="AC421">
        <v>79</v>
      </c>
      <c r="AD421">
        <v>49</v>
      </c>
      <c r="AE421">
        <v>49</v>
      </c>
      <c r="AF421">
        <v>63</v>
      </c>
      <c r="AG421">
        <v>87</v>
      </c>
      <c r="AH421">
        <v>68</v>
      </c>
      <c r="AI421">
        <v>39</v>
      </c>
      <c r="AJ421">
        <v>91</v>
      </c>
      <c r="AK421">
        <v>15</v>
      </c>
      <c r="AL421">
        <v>0</v>
      </c>
      <c r="AM421">
        <v>-1</v>
      </c>
      <c r="AN421">
        <v>0</v>
      </c>
      <c r="AO421">
        <v>0</v>
      </c>
      <c r="AP421">
        <v>0</v>
      </c>
      <c r="AQ421">
        <v>0</v>
      </c>
      <c r="AR421">
        <f t="shared" si="1248"/>
        <v>0</v>
      </c>
      <c r="AS421">
        <f>IF(AND(IFERROR(VLOOKUP(AJ421,Equip!$A:$N,13,FALSE),0)&gt;=5,IFERROR(VLOOKUP(AJ421,Equip!$A:$N,13,FALSE),0)&lt;=9),INT(VLOOKUP(AJ421,Equip!$A:$N,6,FALSE)*SQRT(AN421)),0)</f>
        <v>0</v>
      </c>
      <c r="AT421">
        <f>IF(AND(IFERROR(VLOOKUP(AK421,Equip!$A:$N,13,FALSE),0)&gt;=5,IFERROR(VLOOKUP(AK421,Equip!$A:$N,13,FALSE),0)&lt;=9),INT(VLOOKUP(AK421,Equip!$A:$N,6,FALSE)*SQRT(AO421)),0)</f>
        <v>0</v>
      </c>
      <c r="AU421">
        <f>IF(AND(IFERROR(VLOOKUP(AL421,Equip!$A:$N,13,FALSE),0)&gt;=5,IFERROR(VLOOKUP(AL421,Equip!$A:$N,13,FALSE),0)&lt;=9),INT(VLOOKUP(AL421,Equip!$A:$N,6,FALSE)*SQRT(AP421)),0)</f>
        <v>0</v>
      </c>
      <c r="AV421">
        <f>IF(AND(IFERROR(VLOOKUP(AM421,Equip!$A:$N,13,FALSE),0)&gt;=5,IFERROR(VLOOKUP(AM421,Equip!$A:$N,13,FALSE),0)&lt;=9),INT(VLOOKUP(AM421,Equip!$A:$N,6,FALSE)*SQRT(AQ421)),0)</f>
        <v>0</v>
      </c>
      <c r="AW421">
        <f t="shared" si="1249"/>
        <v>0</v>
      </c>
      <c r="AX421">
        <f t="shared" si="1250"/>
        <v>453</v>
      </c>
    </row>
    <row r="422" spans="1:50">
      <c r="A422">
        <v>256</v>
      </c>
      <c r="B422" t="s">
        <v>910</v>
      </c>
      <c r="C422" t="s">
        <v>910</v>
      </c>
      <c r="D422">
        <v>0</v>
      </c>
      <c r="E422">
        <v>1322</v>
      </c>
      <c r="F422">
        <v>763</v>
      </c>
      <c r="G422">
        <v>256</v>
      </c>
      <c r="H422">
        <v>1</v>
      </c>
      <c r="I422">
        <v>1</v>
      </c>
      <c r="J422">
        <v>2</v>
      </c>
      <c r="K422">
        <v>1</v>
      </c>
      <c r="L422">
        <v>1</v>
      </c>
      <c r="M422">
        <v>16</v>
      </c>
      <c r="N422">
        <v>16</v>
      </c>
      <c r="O422">
        <v>10</v>
      </c>
      <c r="P422">
        <v>6</v>
      </c>
      <c r="Q422">
        <v>24</v>
      </c>
      <c r="R422">
        <v>44</v>
      </c>
      <c r="S422">
        <v>9</v>
      </c>
      <c r="T422">
        <v>23</v>
      </c>
      <c r="U422">
        <v>10</v>
      </c>
      <c r="V422">
        <v>8</v>
      </c>
      <c r="W422">
        <v>1</v>
      </c>
      <c r="X422">
        <v>13</v>
      </c>
      <c r="Y422">
        <v>0</v>
      </c>
      <c r="Z422">
        <v>15</v>
      </c>
      <c r="AA422">
        <v>20</v>
      </c>
      <c r="AB422">
        <v>30</v>
      </c>
      <c r="AC422">
        <v>68</v>
      </c>
      <c r="AD422">
        <v>37</v>
      </c>
      <c r="AE422">
        <v>19</v>
      </c>
      <c r="AF422">
        <v>50</v>
      </c>
      <c r="AG422">
        <v>79</v>
      </c>
      <c r="AH422">
        <v>47</v>
      </c>
      <c r="AI422">
        <v>19</v>
      </c>
      <c r="AJ422">
        <v>2</v>
      </c>
      <c r="AK422">
        <v>14</v>
      </c>
      <c r="AL422">
        <v>-1</v>
      </c>
      <c r="AM422">
        <v>-1</v>
      </c>
      <c r="AN422">
        <v>0</v>
      </c>
      <c r="AO422">
        <v>0</v>
      </c>
      <c r="AP422">
        <v>0</v>
      </c>
      <c r="AQ422">
        <v>0</v>
      </c>
      <c r="AR422">
        <f t="shared" si="1248"/>
        <v>0</v>
      </c>
      <c r="AS422">
        <f>IF(AND(IFERROR(VLOOKUP(AJ422,Equip!$A:$N,13,FALSE),0)&gt;=5,IFERROR(VLOOKUP(AJ422,Equip!$A:$N,13,FALSE),0)&lt;=9),INT(VLOOKUP(AJ422,Equip!$A:$N,6,FALSE)*SQRT(AN422)),0)</f>
        <v>0</v>
      </c>
      <c r="AT422">
        <f>IF(AND(IFERROR(VLOOKUP(AK422,Equip!$A:$N,13,FALSE),0)&gt;=5,IFERROR(VLOOKUP(AK422,Equip!$A:$N,13,FALSE),0)&lt;=9),INT(VLOOKUP(AK422,Equip!$A:$N,6,FALSE)*SQRT(AO422)),0)</f>
        <v>0</v>
      </c>
      <c r="AU422">
        <f>IF(AND(IFERROR(VLOOKUP(AL422,Equip!$A:$N,13,FALSE),0)&gt;=5,IFERROR(VLOOKUP(AL422,Equip!$A:$N,13,FALSE),0)&lt;=9),INT(VLOOKUP(AL422,Equip!$A:$N,6,FALSE)*SQRT(AP422)),0)</f>
        <v>0</v>
      </c>
      <c r="AV422">
        <f>IF(AND(IFERROR(VLOOKUP(AM422,Equip!$A:$N,13,FALSE),0)&gt;=5,IFERROR(VLOOKUP(AM422,Equip!$A:$N,13,FALSE),0)&lt;=9),INT(VLOOKUP(AM422,Equip!$A:$N,6,FALSE)*SQRT(AQ422)),0)</f>
        <v>0</v>
      </c>
      <c r="AW422">
        <f t="shared" si="1249"/>
        <v>0</v>
      </c>
      <c r="AX422">
        <f t="shared" si="1250"/>
        <v>315</v>
      </c>
    </row>
    <row r="423" spans="1:50">
      <c r="A423">
        <v>256</v>
      </c>
      <c r="B423" t="s">
        <v>910</v>
      </c>
      <c r="C423" t="s">
        <v>910</v>
      </c>
      <c r="D423">
        <v>1</v>
      </c>
      <c r="E423">
        <f>E422</f>
        <v>1322</v>
      </c>
      <c r="F423">
        <f t="shared" ref="F423" si="1378">F422</f>
        <v>763</v>
      </c>
      <c r="G423">
        <f t="shared" ref="G423" si="1379">G422</f>
        <v>256</v>
      </c>
      <c r="H423">
        <f t="shared" ref="H423" si="1380">H422</f>
        <v>1</v>
      </c>
      <c r="I423">
        <f t="shared" ref="I423" si="1381">I422</f>
        <v>1</v>
      </c>
      <c r="J423">
        <f t="shared" ref="J423" si="1382">J422</f>
        <v>2</v>
      </c>
      <c r="K423">
        <v>1</v>
      </c>
      <c r="L423">
        <v>1</v>
      </c>
      <c r="M423">
        <v>32</v>
      </c>
      <c r="N423">
        <v>32</v>
      </c>
      <c r="O423">
        <v>13</v>
      </c>
      <c r="P423">
        <v>14</v>
      </c>
      <c r="Q423">
        <v>28</v>
      </c>
      <c r="R423">
        <v>44</v>
      </c>
      <c r="S423">
        <v>16</v>
      </c>
      <c r="T423">
        <v>23</v>
      </c>
      <c r="U423">
        <f t="shared" ref="U423" si="1383">U422</f>
        <v>10</v>
      </c>
      <c r="V423">
        <v>8</v>
      </c>
      <c r="W423">
        <f t="shared" ref="W423" si="1384">W422</f>
        <v>1</v>
      </c>
      <c r="X423">
        <v>14</v>
      </c>
      <c r="Y423">
        <f t="shared" ref="Y423" si="1385">Y422</f>
        <v>0</v>
      </c>
      <c r="Z423">
        <v>15</v>
      </c>
      <c r="AA423">
        <v>20</v>
      </c>
      <c r="AB423">
        <v>50</v>
      </c>
      <c r="AC423">
        <v>78</v>
      </c>
      <c r="AD423">
        <v>48</v>
      </c>
      <c r="AE423">
        <v>49</v>
      </c>
      <c r="AF423">
        <v>64</v>
      </c>
      <c r="AG423">
        <v>87</v>
      </c>
      <c r="AH423">
        <v>67</v>
      </c>
      <c r="AI423">
        <v>40</v>
      </c>
      <c r="AJ423">
        <v>63</v>
      </c>
      <c r="AK423">
        <v>15</v>
      </c>
      <c r="AL423">
        <v>0</v>
      </c>
      <c r="AM423">
        <v>-1</v>
      </c>
      <c r="AN423">
        <v>0</v>
      </c>
      <c r="AO423">
        <v>0</v>
      </c>
      <c r="AP423">
        <v>0</v>
      </c>
      <c r="AQ423">
        <v>0</v>
      </c>
      <c r="AR423">
        <f t="shared" si="1248"/>
        <v>0</v>
      </c>
      <c r="AS423">
        <f>IF(AND(IFERROR(VLOOKUP(AJ423,Equip!$A:$N,13,FALSE),0)&gt;=5,IFERROR(VLOOKUP(AJ423,Equip!$A:$N,13,FALSE),0)&lt;=9),INT(VLOOKUP(AJ423,Equip!$A:$N,6,FALSE)*SQRT(AN423)),0)</f>
        <v>0</v>
      </c>
      <c r="AT423">
        <f>IF(AND(IFERROR(VLOOKUP(AK423,Equip!$A:$N,13,FALSE),0)&gt;=5,IFERROR(VLOOKUP(AK423,Equip!$A:$N,13,FALSE),0)&lt;=9),INT(VLOOKUP(AK423,Equip!$A:$N,6,FALSE)*SQRT(AO423)),0)</f>
        <v>0</v>
      </c>
      <c r="AU423">
        <f>IF(AND(IFERROR(VLOOKUP(AL423,Equip!$A:$N,13,FALSE),0)&gt;=5,IFERROR(VLOOKUP(AL423,Equip!$A:$N,13,FALSE),0)&lt;=9),INT(VLOOKUP(AL423,Equip!$A:$N,6,FALSE)*SQRT(AP423)),0)</f>
        <v>0</v>
      </c>
      <c r="AV423">
        <f>IF(AND(IFERROR(VLOOKUP(AM423,Equip!$A:$N,13,FALSE),0)&gt;=5,IFERROR(VLOOKUP(AM423,Equip!$A:$N,13,FALSE),0)&lt;=9),INT(VLOOKUP(AM423,Equip!$A:$N,6,FALSE)*SQRT(AQ423)),0)</f>
        <v>0</v>
      </c>
      <c r="AW423">
        <f t="shared" si="1249"/>
        <v>0</v>
      </c>
      <c r="AX423">
        <f t="shared" si="1250"/>
        <v>451</v>
      </c>
    </row>
    <row r="424" spans="1:50">
      <c r="A424">
        <v>257</v>
      </c>
      <c r="B424" t="s">
        <v>911</v>
      </c>
      <c r="C424" t="s">
        <v>911</v>
      </c>
      <c r="D424">
        <v>0</v>
      </c>
      <c r="E424">
        <v>1290</v>
      </c>
      <c r="F424">
        <v>744</v>
      </c>
      <c r="G424">
        <v>257</v>
      </c>
      <c r="H424">
        <v>1</v>
      </c>
      <c r="I424">
        <v>1</v>
      </c>
      <c r="J424">
        <v>9</v>
      </c>
      <c r="K424">
        <v>1</v>
      </c>
      <c r="L424">
        <v>1</v>
      </c>
      <c r="M424">
        <v>16</v>
      </c>
      <c r="N424">
        <v>16</v>
      </c>
      <c r="O424">
        <v>11</v>
      </c>
      <c r="P424">
        <v>6</v>
      </c>
      <c r="Q424">
        <v>24</v>
      </c>
      <c r="R424">
        <v>42</v>
      </c>
      <c r="S424">
        <v>8</v>
      </c>
      <c r="T424">
        <v>19</v>
      </c>
      <c r="U424">
        <v>10</v>
      </c>
      <c r="V424">
        <v>5</v>
      </c>
      <c r="W424">
        <v>1</v>
      </c>
      <c r="X424">
        <v>6</v>
      </c>
      <c r="Y424">
        <v>0</v>
      </c>
      <c r="Z424">
        <v>15</v>
      </c>
      <c r="AA424">
        <v>20</v>
      </c>
      <c r="AB424">
        <v>31</v>
      </c>
      <c r="AC424">
        <v>69</v>
      </c>
      <c r="AD424">
        <v>38</v>
      </c>
      <c r="AE424">
        <v>19</v>
      </c>
      <c r="AF424">
        <v>39</v>
      </c>
      <c r="AG424">
        <v>77</v>
      </c>
      <c r="AH424">
        <v>42</v>
      </c>
      <c r="AI424">
        <v>18</v>
      </c>
      <c r="AJ424">
        <v>2</v>
      </c>
      <c r="AK424">
        <v>0</v>
      </c>
      <c r="AL424">
        <v>-1</v>
      </c>
      <c r="AM424">
        <v>-1</v>
      </c>
      <c r="AN424">
        <v>0</v>
      </c>
      <c r="AO424">
        <v>0</v>
      </c>
      <c r="AP424">
        <v>0</v>
      </c>
      <c r="AQ424">
        <v>0</v>
      </c>
      <c r="AR424">
        <f t="shared" si="1248"/>
        <v>0</v>
      </c>
      <c r="AS424">
        <f>IF(AND(IFERROR(VLOOKUP(AJ424,Equip!$A:$N,13,FALSE),0)&gt;=5,IFERROR(VLOOKUP(AJ424,Equip!$A:$N,13,FALSE),0)&lt;=9),INT(VLOOKUP(AJ424,Equip!$A:$N,6,FALSE)*SQRT(AN424)),0)</f>
        <v>0</v>
      </c>
      <c r="AT424">
        <f>IF(AND(IFERROR(VLOOKUP(AK424,Equip!$A:$N,13,FALSE),0)&gt;=5,IFERROR(VLOOKUP(AK424,Equip!$A:$N,13,FALSE),0)&lt;=9),INT(VLOOKUP(AK424,Equip!$A:$N,6,FALSE)*SQRT(AO424)),0)</f>
        <v>0</v>
      </c>
      <c r="AU424">
        <f>IF(AND(IFERROR(VLOOKUP(AL424,Equip!$A:$N,13,FALSE),0)&gt;=5,IFERROR(VLOOKUP(AL424,Equip!$A:$N,13,FALSE),0)&lt;=9),INT(VLOOKUP(AL424,Equip!$A:$N,6,FALSE)*SQRT(AP424)),0)</f>
        <v>0</v>
      </c>
      <c r="AV424">
        <f>IF(AND(IFERROR(VLOOKUP(AM424,Equip!$A:$N,13,FALSE),0)&gt;=5,IFERROR(VLOOKUP(AM424,Equip!$A:$N,13,FALSE),0)&lt;=9),INT(VLOOKUP(AM424,Equip!$A:$N,6,FALSE)*SQRT(AQ424)),0)</f>
        <v>0</v>
      </c>
      <c r="AW424">
        <f t="shared" si="1249"/>
        <v>0</v>
      </c>
      <c r="AX424">
        <f t="shared" si="1250"/>
        <v>310</v>
      </c>
    </row>
    <row r="425" spans="1:50">
      <c r="A425">
        <v>257</v>
      </c>
      <c r="B425" t="s">
        <v>911</v>
      </c>
      <c r="C425" t="s">
        <v>911</v>
      </c>
      <c r="D425">
        <v>1</v>
      </c>
      <c r="E425">
        <f>E424</f>
        <v>1290</v>
      </c>
      <c r="F425">
        <f t="shared" ref="F425" si="1386">F424</f>
        <v>744</v>
      </c>
      <c r="G425">
        <f t="shared" ref="G425" si="1387">G424</f>
        <v>257</v>
      </c>
      <c r="H425">
        <f t="shared" ref="H425" si="1388">H424</f>
        <v>1</v>
      </c>
      <c r="I425">
        <f t="shared" ref="I425" si="1389">I424</f>
        <v>1</v>
      </c>
      <c r="J425">
        <f t="shared" ref="J425" si="1390">J424</f>
        <v>9</v>
      </c>
      <c r="K425">
        <v>1</v>
      </c>
      <c r="L425">
        <v>1</v>
      </c>
      <c r="M425">
        <v>30</v>
      </c>
      <c r="N425">
        <v>30</v>
      </c>
      <c r="O425">
        <v>14</v>
      </c>
      <c r="P425">
        <v>6</v>
      </c>
      <c r="Q425">
        <v>29</v>
      </c>
      <c r="R425">
        <v>44</v>
      </c>
      <c r="S425">
        <v>12</v>
      </c>
      <c r="T425">
        <v>30</v>
      </c>
      <c r="U425">
        <f t="shared" ref="U425" si="1391">U424</f>
        <v>10</v>
      </c>
      <c r="V425">
        <v>7</v>
      </c>
      <c r="W425">
        <f t="shared" ref="W425" si="1392">W424</f>
        <v>1</v>
      </c>
      <c r="X425">
        <v>8</v>
      </c>
      <c r="Y425">
        <f t="shared" ref="Y425" si="1393">Y424</f>
        <v>0</v>
      </c>
      <c r="Z425">
        <v>15</v>
      </c>
      <c r="AA425">
        <v>20</v>
      </c>
      <c r="AB425">
        <v>51</v>
      </c>
      <c r="AC425">
        <v>82</v>
      </c>
      <c r="AD425">
        <v>49</v>
      </c>
      <c r="AE425">
        <v>48</v>
      </c>
      <c r="AF425">
        <v>59</v>
      </c>
      <c r="AG425">
        <v>88</v>
      </c>
      <c r="AH425">
        <v>69</v>
      </c>
      <c r="AI425">
        <v>42</v>
      </c>
      <c r="AJ425">
        <v>63</v>
      </c>
      <c r="AK425">
        <v>44</v>
      </c>
      <c r="AL425">
        <v>46</v>
      </c>
      <c r="AM425">
        <v>-1</v>
      </c>
      <c r="AN425">
        <v>0</v>
      </c>
      <c r="AO425">
        <v>0</v>
      </c>
      <c r="AP425">
        <v>0</v>
      </c>
      <c r="AQ425">
        <v>0</v>
      </c>
      <c r="AR425">
        <f t="shared" si="1248"/>
        <v>0</v>
      </c>
      <c r="AS425">
        <f>IF(AND(IFERROR(VLOOKUP(AJ425,Equip!$A:$N,13,FALSE),0)&gt;=5,IFERROR(VLOOKUP(AJ425,Equip!$A:$N,13,FALSE),0)&lt;=9),INT(VLOOKUP(AJ425,Equip!$A:$N,6,FALSE)*SQRT(AN425)),0)</f>
        <v>0</v>
      </c>
      <c r="AT425">
        <f>IF(AND(IFERROR(VLOOKUP(AK425,Equip!$A:$N,13,FALSE),0)&gt;=5,IFERROR(VLOOKUP(AK425,Equip!$A:$N,13,FALSE),0)&lt;=9),INT(VLOOKUP(AK425,Equip!$A:$N,6,FALSE)*SQRT(AO425)),0)</f>
        <v>0</v>
      </c>
      <c r="AU425">
        <f>IF(AND(IFERROR(VLOOKUP(AL425,Equip!$A:$N,13,FALSE),0)&gt;=5,IFERROR(VLOOKUP(AL425,Equip!$A:$N,13,FALSE),0)&lt;=9),INT(VLOOKUP(AL425,Equip!$A:$N,6,FALSE)*SQRT(AP425)),0)</f>
        <v>0</v>
      </c>
      <c r="AV425">
        <f>IF(AND(IFERROR(VLOOKUP(AM425,Equip!$A:$N,13,FALSE),0)&gt;=5,IFERROR(VLOOKUP(AM425,Equip!$A:$N,13,FALSE),0)&lt;=9),INT(VLOOKUP(AM425,Equip!$A:$N,6,FALSE)*SQRT(AQ425)),0)</f>
        <v>0</v>
      </c>
      <c r="AW425">
        <f t="shared" si="1249"/>
        <v>0</v>
      </c>
      <c r="AX425">
        <f t="shared" si="1250"/>
        <v>459</v>
      </c>
    </row>
    <row r="426" spans="1:50">
      <c r="A426">
        <v>258</v>
      </c>
      <c r="B426" t="s">
        <v>912</v>
      </c>
      <c r="C426" t="s">
        <v>912</v>
      </c>
      <c r="D426">
        <v>0</v>
      </c>
      <c r="E426">
        <v>1320</v>
      </c>
      <c r="F426">
        <v>760</v>
      </c>
      <c r="G426">
        <v>258</v>
      </c>
      <c r="H426">
        <v>1</v>
      </c>
      <c r="I426">
        <v>1</v>
      </c>
      <c r="J426">
        <v>0</v>
      </c>
      <c r="K426">
        <v>1</v>
      </c>
      <c r="L426">
        <v>1</v>
      </c>
      <c r="M426">
        <v>16</v>
      </c>
      <c r="N426">
        <v>16</v>
      </c>
      <c r="O426">
        <v>10</v>
      </c>
      <c r="P426">
        <v>6</v>
      </c>
      <c r="Q426">
        <v>24</v>
      </c>
      <c r="R426">
        <v>44</v>
      </c>
      <c r="S426">
        <v>10</v>
      </c>
      <c r="T426">
        <v>23</v>
      </c>
      <c r="U426">
        <v>10</v>
      </c>
      <c r="V426">
        <v>6</v>
      </c>
      <c r="W426">
        <v>1</v>
      </c>
      <c r="X426">
        <v>10</v>
      </c>
      <c r="Y426">
        <v>0</v>
      </c>
      <c r="Z426">
        <v>15</v>
      </c>
      <c r="AA426">
        <v>20</v>
      </c>
      <c r="AB426">
        <v>29</v>
      </c>
      <c r="AC426">
        <v>69</v>
      </c>
      <c r="AD426">
        <v>40</v>
      </c>
      <c r="AE426">
        <v>19</v>
      </c>
      <c r="AF426">
        <v>49</v>
      </c>
      <c r="AG426">
        <v>79</v>
      </c>
      <c r="AH426">
        <v>50</v>
      </c>
      <c r="AI426">
        <v>19</v>
      </c>
      <c r="AJ426">
        <v>2</v>
      </c>
      <c r="AK426">
        <v>0</v>
      </c>
      <c r="AL426">
        <v>-1</v>
      </c>
      <c r="AM426">
        <v>-1</v>
      </c>
      <c r="AN426">
        <v>0</v>
      </c>
      <c r="AO426">
        <v>0</v>
      </c>
      <c r="AP426">
        <v>0</v>
      </c>
      <c r="AQ426">
        <v>0</v>
      </c>
      <c r="AR426">
        <f t="shared" si="1248"/>
        <v>0</v>
      </c>
      <c r="AS426">
        <f>IF(AND(IFERROR(VLOOKUP(AJ426,Equip!$A:$N,13,FALSE),0)&gt;=5,IFERROR(VLOOKUP(AJ426,Equip!$A:$N,13,FALSE),0)&lt;=9),INT(VLOOKUP(AJ426,Equip!$A:$N,6,FALSE)*SQRT(AN426)),0)</f>
        <v>0</v>
      </c>
      <c r="AT426">
        <f>IF(AND(IFERROR(VLOOKUP(AK426,Equip!$A:$N,13,FALSE),0)&gt;=5,IFERROR(VLOOKUP(AK426,Equip!$A:$N,13,FALSE),0)&lt;=9),INT(VLOOKUP(AK426,Equip!$A:$N,6,FALSE)*SQRT(AO426)),0)</f>
        <v>0</v>
      </c>
      <c r="AU426">
        <f>IF(AND(IFERROR(VLOOKUP(AL426,Equip!$A:$N,13,FALSE),0)&gt;=5,IFERROR(VLOOKUP(AL426,Equip!$A:$N,13,FALSE),0)&lt;=9),INT(VLOOKUP(AL426,Equip!$A:$N,6,FALSE)*SQRT(AP426)),0)</f>
        <v>0</v>
      </c>
      <c r="AV426">
        <f>IF(AND(IFERROR(VLOOKUP(AM426,Equip!$A:$N,13,FALSE),0)&gt;=5,IFERROR(VLOOKUP(AM426,Equip!$A:$N,13,FALSE),0)&lt;=9),INT(VLOOKUP(AM426,Equip!$A:$N,6,FALSE)*SQRT(AQ426)),0)</f>
        <v>0</v>
      </c>
      <c r="AW426">
        <f t="shared" si="1249"/>
        <v>0</v>
      </c>
      <c r="AX426">
        <f t="shared" si="1250"/>
        <v>321</v>
      </c>
    </row>
    <row r="427" spans="1:50">
      <c r="A427">
        <v>258</v>
      </c>
      <c r="B427" t="s">
        <v>912</v>
      </c>
      <c r="C427" t="s">
        <v>912</v>
      </c>
      <c r="D427">
        <v>1</v>
      </c>
      <c r="E427">
        <f>E426</f>
        <v>1320</v>
      </c>
      <c r="F427">
        <f t="shared" ref="F427" si="1394">F426</f>
        <v>760</v>
      </c>
      <c r="G427">
        <f t="shared" ref="G427" si="1395">G426</f>
        <v>258</v>
      </c>
      <c r="H427">
        <f t="shared" ref="H427" si="1396">H426</f>
        <v>1</v>
      </c>
      <c r="I427">
        <f t="shared" ref="I427" si="1397">I426</f>
        <v>1</v>
      </c>
      <c r="J427">
        <f t="shared" ref="J427" si="1398">J426</f>
        <v>0</v>
      </c>
      <c r="K427">
        <v>1</v>
      </c>
      <c r="L427">
        <v>1</v>
      </c>
      <c r="M427">
        <v>30</v>
      </c>
      <c r="N427">
        <v>30</v>
      </c>
      <c r="O427">
        <v>13</v>
      </c>
      <c r="P427">
        <v>6</v>
      </c>
      <c r="Q427">
        <v>29</v>
      </c>
      <c r="R427">
        <v>46</v>
      </c>
      <c r="S427">
        <v>14</v>
      </c>
      <c r="T427">
        <v>27</v>
      </c>
      <c r="U427">
        <f t="shared" ref="U427" si="1399">U426</f>
        <v>10</v>
      </c>
      <c r="V427">
        <v>8</v>
      </c>
      <c r="W427">
        <f t="shared" ref="W427" si="1400">W426</f>
        <v>1</v>
      </c>
      <c r="X427">
        <v>13</v>
      </c>
      <c r="Y427">
        <f t="shared" ref="Y427" si="1401">Y426</f>
        <v>0</v>
      </c>
      <c r="Z427">
        <v>15</v>
      </c>
      <c r="AA427">
        <v>20</v>
      </c>
      <c r="AB427">
        <v>49</v>
      </c>
      <c r="AC427">
        <v>79</v>
      </c>
      <c r="AD427">
        <v>50</v>
      </c>
      <c r="AE427">
        <v>49</v>
      </c>
      <c r="AF427">
        <v>64</v>
      </c>
      <c r="AG427">
        <v>89</v>
      </c>
      <c r="AH427">
        <v>63</v>
      </c>
      <c r="AI427">
        <v>40</v>
      </c>
      <c r="AJ427">
        <v>63</v>
      </c>
      <c r="AK427">
        <v>44</v>
      </c>
      <c r="AL427">
        <v>0</v>
      </c>
      <c r="AM427">
        <v>-1</v>
      </c>
      <c r="AN427">
        <v>0</v>
      </c>
      <c r="AO427">
        <v>0</v>
      </c>
      <c r="AP427">
        <v>0</v>
      </c>
      <c r="AQ427">
        <v>0</v>
      </c>
      <c r="AR427">
        <f t="shared" si="1248"/>
        <v>0</v>
      </c>
      <c r="AS427">
        <f>IF(AND(IFERROR(VLOOKUP(AJ427,Equip!$A:$N,13,FALSE),0)&gt;=5,IFERROR(VLOOKUP(AJ427,Equip!$A:$N,13,FALSE),0)&lt;=9),INT(VLOOKUP(AJ427,Equip!$A:$N,6,FALSE)*SQRT(AN427)),0)</f>
        <v>0</v>
      </c>
      <c r="AT427">
        <f>IF(AND(IFERROR(VLOOKUP(AK427,Equip!$A:$N,13,FALSE),0)&gt;=5,IFERROR(VLOOKUP(AK427,Equip!$A:$N,13,FALSE),0)&lt;=9),INT(VLOOKUP(AK427,Equip!$A:$N,6,FALSE)*SQRT(AO427)),0)</f>
        <v>0</v>
      </c>
      <c r="AU427">
        <f>IF(AND(IFERROR(VLOOKUP(AL427,Equip!$A:$N,13,FALSE),0)&gt;=5,IFERROR(VLOOKUP(AL427,Equip!$A:$N,13,FALSE),0)&lt;=9),INT(VLOOKUP(AL427,Equip!$A:$N,6,FALSE)*SQRT(AP427)),0)</f>
        <v>0</v>
      </c>
      <c r="AV427">
        <f>IF(AND(IFERROR(VLOOKUP(AM427,Equip!$A:$N,13,FALSE),0)&gt;=5,IFERROR(VLOOKUP(AM427,Equip!$A:$N,13,FALSE),0)&lt;=9),INT(VLOOKUP(AM427,Equip!$A:$N,6,FALSE)*SQRT(AQ427)),0)</f>
        <v>0</v>
      </c>
      <c r="AW427">
        <f t="shared" si="1249"/>
        <v>0</v>
      </c>
      <c r="AX427">
        <f t="shared" si="1250"/>
        <v>449</v>
      </c>
    </row>
    <row r="428" spans="1:50">
      <c r="A428">
        <v>259</v>
      </c>
      <c r="B428" t="s">
        <v>913</v>
      </c>
      <c r="C428" t="s">
        <v>913</v>
      </c>
      <c r="D428">
        <v>0</v>
      </c>
      <c r="E428">
        <v>1320</v>
      </c>
      <c r="F428">
        <v>760</v>
      </c>
      <c r="G428">
        <v>259</v>
      </c>
      <c r="H428">
        <v>1</v>
      </c>
      <c r="I428">
        <v>1</v>
      </c>
      <c r="J428">
        <v>4</v>
      </c>
      <c r="K428">
        <v>1</v>
      </c>
      <c r="L428">
        <v>1</v>
      </c>
      <c r="M428">
        <v>16</v>
      </c>
      <c r="N428">
        <v>16</v>
      </c>
      <c r="O428">
        <v>10</v>
      </c>
      <c r="P428">
        <v>6</v>
      </c>
      <c r="Q428">
        <v>25</v>
      </c>
      <c r="R428">
        <v>44</v>
      </c>
      <c r="S428">
        <v>9</v>
      </c>
      <c r="T428">
        <v>21</v>
      </c>
      <c r="U428">
        <v>10</v>
      </c>
      <c r="V428">
        <v>6</v>
      </c>
      <c r="W428">
        <v>1</v>
      </c>
      <c r="X428">
        <v>10</v>
      </c>
      <c r="Y428">
        <v>0</v>
      </c>
      <c r="Z428">
        <v>15</v>
      </c>
      <c r="AA428">
        <v>20</v>
      </c>
      <c r="AB428">
        <v>29</v>
      </c>
      <c r="AC428">
        <v>70</v>
      </c>
      <c r="AD428">
        <v>39</v>
      </c>
      <c r="AE428">
        <v>19</v>
      </c>
      <c r="AF428">
        <v>49</v>
      </c>
      <c r="AG428">
        <v>79</v>
      </c>
      <c r="AH428">
        <v>49</v>
      </c>
      <c r="AI428">
        <v>19</v>
      </c>
      <c r="AJ428">
        <v>2</v>
      </c>
      <c r="AK428">
        <v>0</v>
      </c>
      <c r="AL428">
        <v>-1</v>
      </c>
      <c r="AM428">
        <v>-1</v>
      </c>
      <c r="AN428">
        <v>0</v>
      </c>
      <c r="AO428">
        <v>0</v>
      </c>
      <c r="AP428">
        <v>0</v>
      </c>
      <c r="AQ428">
        <v>0</v>
      </c>
      <c r="AR428">
        <f t="shared" si="1248"/>
        <v>0</v>
      </c>
      <c r="AS428">
        <f>IF(AND(IFERROR(VLOOKUP(AJ428,Equip!$A:$N,13,FALSE),0)&gt;=5,IFERROR(VLOOKUP(AJ428,Equip!$A:$N,13,FALSE),0)&lt;=9),INT(VLOOKUP(AJ428,Equip!$A:$N,6,FALSE)*SQRT(AN428)),0)</f>
        <v>0</v>
      </c>
      <c r="AT428">
        <f>IF(AND(IFERROR(VLOOKUP(AK428,Equip!$A:$N,13,FALSE),0)&gt;=5,IFERROR(VLOOKUP(AK428,Equip!$A:$N,13,FALSE),0)&lt;=9),INT(VLOOKUP(AK428,Equip!$A:$N,6,FALSE)*SQRT(AO428)),0)</f>
        <v>0</v>
      </c>
      <c r="AU428">
        <f>IF(AND(IFERROR(VLOOKUP(AL428,Equip!$A:$N,13,FALSE),0)&gt;=5,IFERROR(VLOOKUP(AL428,Equip!$A:$N,13,FALSE),0)&lt;=9),INT(VLOOKUP(AL428,Equip!$A:$N,6,FALSE)*SQRT(AP428)),0)</f>
        <v>0</v>
      </c>
      <c r="AV428">
        <f>IF(AND(IFERROR(VLOOKUP(AM428,Equip!$A:$N,13,FALSE),0)&gt;=5,IFERROR(VLOOKUP(AM428,Equip!$A:$N,13,FALSE),0)&lt;=9),INT(VLOOKUP(AM428,Equip!$A:$N,6,FALSE)*SQRT(AQ428)),0)</f>
        <v>0</v>
      </c>
      <c r="AW428">
        <f t="shared" si="1249"/>
        <v>0</v>
      </c>
      <c r="AX428">
        <f t="shared" si="1250"/>
        <v>320</v>
      </c>
    </row>
    <row r="429" spans="1:50">
      <c r="A429">
        <v>259</v>
      </c>
      <c r="B429" t="s">
        <v>913</v>
      </c>
      <c r="C429" t="s">
        <v>913</v>
      </c>
      <c r="D429">
        <v>1</v>
      </c>
      <c r="E429">
        <f t="shared" ref="E429:E430" si="1402">E428</f>
        <v>1320</v>
      </c>
      <c r="F429">
        <f t="shared" ref="F429:F430" si="1403">F428</f>
        <v>760</v>
      </c>
      <c r="G429">
        <f t="shared" ref="G429:G430" si="1404">G428</f>
        <v>259</v>
      </c>
      <c r="H429">
        <f t="shared" ref="H429:H430" si="1405">H428</f>
        <v>1</v>
      </c>
      <c r="I429">
        <f t="shared" ref="I429:I430" si="1406">I428</f>
        <v>1</v>
      </c>
      <c r="J429">
        <f t="shared" ref="J429:J430" si="1407">J428</f>
        <v>4</v>
      </c>
      <c r="K429">
        <v>1</v>
      </c>
      <c r="L429">
        <v>1</v>
      </c>
      <c r="M429">
        <v>30</v>
      </c>
      <c r="N429">
        <v>30</v>
      </c>
      <c r="O429">
        <v>13</v>
      </c>
      <c r="P429">
        <v>6</v>
      </c>
      <c r="Q429">
        <v>30</v>
      </c>
      <c r="R429">
        <v>46</v>
      </c>
      <c r="S429">
        <v>13</v>
      </c>
      <c r="T429">
        <v>24</v>
      </c>
      <c r="U429">
        <f t="shared" ref="U429:U430" si="1408">U428</f>
        <v>10</v>
      </c>
      <c r="V429">
        <v>8</v>
      </c>
      <c r="W429">
        <f t="shared" ref="W429:W430" si="1409">W428</f>
        <v>1</v>
      </c>
      <c r="X429">
        <v>12</v>
      </c>
      <c r="Y429">
        <f t="shared" ref="Y429:Y430" si="1410">Y428</f>
        <v>0</v>
      </c>
      <c r="Z429">
        <v>15</v>
      </c>
      <c r="AA429">
        <v>20</v>
      </c>
      <c r="AB429">
        <v>49</v>
      </c>
      <c r="AC429">
        <v>80</v>
      </c>
      <c r="AD429">
        <v>49</v>
      </c>
      <c r="AE429">
        <v>49</v>
      </c>
      <c r="AF429">
        <v>59</v>
      </c>
      <c r="AG429">
        <v>89</v>
      </c>
      <c r="AH429">
        <v>59</v>
      </c>
      <c r="AI429">
        <v>40</v>
      </c>
      <c r="AJ429">
        <v>63</v>
      </c>
      <c r="AK429">
        <v>28</v>
      </c>
      <c r="AL429">
        <v>0</v>
      </c>
      <c r="AM429">
        <v>-1</v>
      </c>
      <c r="AN429">
        <v>0</v>
      </c>
      <c r="AO429">
        <v>0</v>
      </c>
      <c r="AP429">
        <v>0</v>
      </c>
      <c r="AQ429">
        <v>0</v>
      </c>
      <c r="AR429">
        <f t="shared" si="1248"/>
        <v>0</v>
      </c>
      <c r="AS429">
        <f>IF(AND(IFERROR(VLOOKUP(AJ429,Equip!$A:$N,13,FALSE),0)&gt;=5,IFERROR(VLOOKUP(AJ429,Equip!$A:$N,13,FALSE),0)&lt;=9),INT(VLOOKUP(AJ429,Equip!$A:$N,6,FALSE)*SQRT(AN429)),0)</f>
        <v>0</v>
      </c>
      <c r="AT429">
        <f>IF(AND(IFERROR(VLOOKUP(AK429,Equip!$A:$N,13,FALSE),0)&gt;=5,IFERROR(VLOOKUP(AK429,Equip!$A:$N,13,FALSE),0)&lt;=9),INT(VLOOKUP(AK429,Equip!$A:$N,6,FALSE)*SQRT(AO429)),0)</f>
        <v>0</v>
      </c>
      <c r="AU429">
        <f>IF(AND(IFERROR(VLOOKUP(AL429,Equip!$A:$N,13,FALSE),0)&gt;=5,IFERROR(VLOOKUP(AL429,Equip!$A:$N,13,FALSE),0)&lt;=9),INT(VLOOKUP(AL429,Equip!$A:$N,6,FALSE)*SQRT(AP429)),0)</f>
        <v>0</v>
      </c>
      <c r="AV429">
        <f>IF(AND(IFERROR(VLOOKUP(AM429,Equip!$A:$N,13,FALSE),0)&gt;=5,IFERROR(VLOOKUP(AM429,Equip!$A:$N,13,FALSE),0)&lt;=9),INT(VLOOKUP(AM429,Equip!$A:$N,6,FALSE)*SQRT(AQ429)),0)</f>
        <v>0</v>
      </c>
      <c r="AW429">
        <f t="shared" si="1249"/>
        <v>0</v>
      </c>
      <c r="AX429">
        <f t="shared" si="1250"/>
        <v>445</v>
      </c>
    </row>
    <row r="430" spans="1:50">
      <c r="A430">
        <v>259</v>
      </c>
      <c r="B430" t="s">
        <v>913</v>
      </c>
      <c r="C430" t="s">
        <v>913</v>
      </c>
      <c r="D430">
        <v>2</v>
      </c>
      <c r="E430">
        <f t="shared" si="1402"/>
        <v>1320</v>
      </c>
      <c r="F430">
        <f t="shared" si="1403"/>
        <v>760</v>
      </c>
      <c r="G430">
        <f t="shared" si="1404"/>
        <v>259</v>
      </c>
      <c r="H430">
        <f t="shared" si="1405"/>
        <v>1</v>
      </c>
      <c r="I430">
        <f t="shared" si="1406"/>
        <v>1</v>
      </c>
      <c r="J430">
        <f t="shared" si="1407"/>
        <v>4</v>
      </c>
      <c r="K430">
        <v>1</v>
      </c>
      <c r="L430">
        <v>1</v>
      </c>
      <c r="M430">
        <v>31</v>
      </c>
      <c r="N430">
        <v>31</v>
      </c>
      <c r="O430">
        <v>16</v>
      </c>
      <c r="P430">
        <v>6</v>
      </c>
      <c r="Q430">
        <v>38</v>
      </c>
      <c r="R430">
        <v>51</v>
      </c>
      <c r="S430">
        <v>18</v>
      </c>
      <c r="T430">
        <v>25</v>
      </c>
      <c r="U430">
        <f t="shared" si="1408"/>
        <v>10</v>
      </c>
      <c r="V430">
        <v>13</v>
      </c>
      <c r="W430">
        <f t="shared" si="1409"/>
        <v>1</v>
      </c>
      <c r="X430">
        <v>19</v>
      </c>
      <c r="Y430">
        <f t="shared" si="1410"/>
        <v>0</v>
      </c>
      <c r="Z430">
        <v>15</v>
      </c>
      <c r="AA430">
        <v>20</v>
      </c>
      <c r="AB430">
        <v>62</v>
      </c>
      <c r="AC430">
        <v>96</v>
      </c>
      <c r="AD430">
        <v>64</v>
      </c>
      <c r="AE430">
        <v>51</v>
      </c>
      <c r="AF430">
        <v>75</v>
      </c>
      <c r="AG430">
        <v>89</v>
      </c>
      <c r="AH430">
        <v>63</v>
      </c>
      <c r="AI430">
        <v>53</v>
      </c>
      <c r="AJ430">
        <v>63</v>
      </c>
      <c r="AK430">
        <v>15</v>
      </c>
      <c r="AL430">
        <v>101</v>
      </c>
      <c r="AM430">
        <v>-1</v>
      </c>
      <c r="AN430">
        <v>0</v>
      </c>
      <c r="AO430">
        <v>0</v>
      </c>
      <c r="AP430">
        <v>0</v>
      </c>
      <c r="AQ430">
        <v>0</v>
      </c>
      <c r="AR430">
        <f t="shared" si="1248"/>
        <v>0</v>
      </c>
      <c r="AS430">
        <f>IF(AND(IFERROR(VLOOKUP(AJ430,Equip!$A:$N,13,FALSE),0)&gt;=5,IFERROR(VLOOKUP(AJ430,Equip!$A:$N,13,FALSE),0)&lt;=9),INT(VLOOKUP(AJ430,Equip!$A:$N,6,FALSE)*SQRT(AN430)),0)</f>
        <v>0</v>
      </c>
      <c r="AT430">
        <f>IF(AND(IFERROR(VLOOKUP(AK430,Equip!$A:$N,13,FALSE),0)&gt;=5,IFERROR(VLOOKUP(AK430,Equip!$A:$N,13,FALSE),0)&lt;=9),INT(VLOOKUP(AK430,Equip!$A:$N,6,FALSE)*SQRT(AO430)),0)</f>
        <v>0</v>
      </c>
      <c r="AU430">
        <f>IF(AND(IFERROR(VLOOKUP(AL430,Equip!$A:$N,13,FALSE),0)&gt;=5,IFERROR(VLOOKUP(AL430,Equip!$A:$N,13,FALSE),0)&lt;=9),INT(VLOOKUP(AL430,Equip!$A:$N,6,FALSE)*SQRT(AP430)),0)</f>
        <v>0</v>
      </c>
      <c r="AV430">
        <f>IF(AND(IFERROR(VLOOKUP(AM430,Equip!$A:$N,13,FALSE),0)&gt;=5,IFERROR(VLOOKUP(AM430,Equip!$A:$N,13,FALSE),0)&lt;=9),INT(VLOOKUP(AM430,Equip!$A:$N,6,FALSE)*SQRT(AQ430)),0)</f>
        <v>0</v>
      </c>
      <c r="AW430">
        <f t="shared" si="1249"/>
        <v>0</v>
      </c>
      <c r="AX430">
        <f t="shared" si="1250"/>
        <v>509</v>
      </c>
    </row>
    <row r="431" spans="1:50">
      <c r="A431">
        <v>260</v>
      </c>
      <c r="B431" t="s">
        <v>914</v>
      </c>
      <c r="C431" t="s">
        <v>914</v>
      </c>
      <c r="D431">
        <v>0</v>
      </c>
      <c r="E431">
        <v>1940</v>
      </c>
      <c r="F431">
        <v>1070</v>
      </c>
      <c r="G431">
        <v>260</v>
      </c>
      <c r="H431">
        <v>1</v>
      </c>
      <c r="I431">
        <v>1</v>
      </c>
      <c r="J431">
        <v>0</v>
      </c>
      <c r="K431">
        <v>18</v>
      </c>
      <c r="L431">
        <v>4</v>
      </c>
      <c r="M431">
        <v>43</v>
      </c>
      <c r="N431">
        <v>43</v>
      </c>
      <c r="O431">
        <v>4</v>
      </c>
      <c r="P431">
        <v>3</v>
      </c>
      <c r="Q431">
        <v>0</v>
      </c>
      <c r="R431">
        <v>9</v>
      </c>
      <c r="S431">
        <v>10</v>
      </c>
      <c r="T431">
        <v>5</v>
      </c>
      <c r="U431">
        <v>5</v>
      </c>
      <c r="V431">
        <v>15</v>
      </c>
      <c r="W431">
        <v>1</v>
      </c>
      <c r="X431">
        <v>7</v>
      </c>
      <c r="Y431">
        <v>0</v>
      </c>
      <c r="Z431">
        <v>100</v>
      </c>
      <c r="AA431">
        <v>15</v>
      </c>
      <c r="AB431">
        <v>22</v>
      </c>
      <c r="AC431">
        <v>0</v>
      </c>
      <c r="AD431">
        <v>32</v>
      </c>
      <c r="AE431">
        <v>15</v>
      </c>
      <c r="AF431">
        <v>39</v>
      </c>
      <c r="AG431">
        <v>29</v>
      </c>
      <c r="AH431">
        <v>30</v>
      </c>
      <c r="AI431">
        <v>45</v>
      </c>
      <c r="AJ431">
        <v>26</v>
      </c>
      <c r="AK431">
        <v>146</v>
      </c>
      <c r="AL431">
        <v>-1</v>
      </c>
      <c r="AM431">
        <v>-1</v>
      </c>
      <c r="AN431">
        <v>6</v>
      </c>
      <c r="AO431">
        <v>1</v>
      </c>
      <c r="AP431">
        <v>0</v>
      </c>
      <c r="AQ431">
        <v>0</v>
      </c>
      <c r="AR431">
        <f t="shared" si="1248"/>
        <v>7</v>
      </c>
      <c r="AS431">
        <f>IF(AND(IFERROR(VLOOKUP(AJ431,Equip!$A:$N,13,FALSE),0)&gt;=5,IFERROR(VLOOKUP(AJ431,Equip!$A:$N,13,FALSE),0)&lt;=9),INT(VLOOKUP(AJ431,Equip!$A:$N,6,FALSE)*SQRT(AN431)),0)</f>
        <v>0</v>
      </c>
      <c r="AT431">
        <f>IF(AND(IFERROR(VLOOKUP(AK431,Equip!$A:$N,13,FALSE),0)&gt;=5,IFERROR(VLOOKUP(AK431,Equip!$A:$N,13,FALSE),0)&lt;=9),INT(VLOOKUP(AK431,Equip!$A:$N,6,FALSE)*SQRT(AO431)),0)</f>
        <v>0</v>
      </c>
      <c r="AU431">
        <f>IF(AND(IFERROR(VLOOKUP(AL431,Equip!$A:$N,13,FALSE),0)&gt;=5,IFERROR(VLOOKUP(AL431,Equip!$A:$N,13,FALSE),0)&lt;=9),INT(VLOOKUP(AL431,Equip!$A:$N,6,FALSE)*SQRT(AP431)),0)</f>
        <v>0</v>
      </c>
      <c r="AV431">
        <f>IF(AND(IFERROR(VLOOKUP(AM431,Equip!$A:$N,13,FALSE),0)&gt;=5,IFERROR(VLOOKUP(AM431,Equip!$A:$N,13,FALSE),0)&lt;=9),INT(VLOOKUP(AM431,Equip!$A:$N,6,FALSE)*SQRT(AQ431)),0)</f>
        <v>0</v>
      </c>
      <c r="AW431">
        <f t="shared" si="1249"/>
        <v>0</v>
      </c>
      <c r="AX431">
        <f t="shared" si="1250"/>
        <v>216</v>
      </c>
    </row>
    <row r="432" spans="1:50">
      <c r="A432">
        <v>260</v>
      </c>
      <c r="B432" t="s">
        <v>914</v>
      </c>
      <c r="C432" t="s">
        <v>914</v>
      </c>
      <c r="D432">
        <v>1</v>
      </c>
      <c r="E432">
        <f>E431</f>
        <v>1940</v>
      </c>
      <c r="F432">
        <f t="shared" ref="F432" si="1411">F431</f>
        <v>1070</v>
      </c>
      <c r="G432">
        <f t="shared" ref="G432" si="1412">G431</f>
        <v>260</v>
      </c>
      <c r="H432">
        <f t="shared" ref="H432" si="1413">H431</f>
        <v>1</v>
      </c>
      <c r="I432">
        <f t="shared" ref="I432" si="1414">I431</f>
        <v>1</v>
      </c>
      <c r="J432">
        <f t="shared" ref="J432" si="1415">J431</f>
        <v>0</v>
      </c>
      <c r="K432">
        <v>18</v>
      </c>
      <c r="L432">
        <v>4</v>
      </c>
      <c r="M432">
        <v>48</v>
      </c>
      <c r="N432">
        <v>48</v>
      </c>
      <c r="O432">
        <v>4</v>
      </c>
      <c r="P432">
        <v>3</v>
      </c>
      <c r="Q432">
        <v>0</v>
      </c>
      <c r="R432">
        <v>10</v>
      </c>
      <c r="S432">
        <v>10</v>
      </c>
      <c r="T432">
        <v>12</v>
      </c>
      <c r="U432">
        <f t="shared" ref="U432" si="1416">U431</f>
        <v>5</v>
      </c>
      <c r="V432">
        <v>18</v>
      </c>
      <c r="W432">
        <f t="shared" ref="W432" si="1417">W431</f>
        <v>1</v>
      </c>
      <c r="X432">
        <v>8</v>
      </c>
      <c r="Y432">
        <f t="shared" ref="Y432" si="1418">Y431</f>
        <v>0</v>
      </c>
      <c r="Z432">
        <v>120</v>
      </c>
      <c r="AA432">
        <v>20</v>
      </c>
      <c r="AB432">
        <v>36</v>
      </c>
      <c r="AC432">
        <v>0</v>
      </c>
      <c r="AD432">
        <v>48</v>
      </c>
      <c r="AE432">
        <v>19</v>
      </c>
      <c r="AF432">
        <v>44</v>
      </c>
      <c r="AG432">
        <v>33</v>
      </c>
      <c r="AH432">
        <v>36</v>
      </c>
      <c r="AI432">
        <v>59</v>
      </c>
      <c r="AJ432">
        <v>48</v>
      </c>
      <c r="AK432">
        <v>146</v>
      </c>
      <c r="AL432">
        <v>40</v>
      </c>
      <c r="AM432">
        <v>-1</v>
      </c>
      <c r="AN432">
        <v>6</v>
      </c>
      <c r="AO432">
        <v>3</v>
      </c>
      <c r="AP432">
        <v>1</v>
      </c>
      <c r="AQ432">
        <v>0</v>
      </c>
      <c r="AR432">
        <f t="shared" si="1248"/>
        <v>10</v>
      </c>
      <c r="AS432">
        <f>IF(AND(IFERROR(VLOOKUP(AJ432,Equip!$A:$N,13,FALSE),0)&gt;=5,IFERROR(VLOOKUP(AJ432,Equip!$A:$N,13,FALSE),0)&lt;=9),INT(VLOOKUP(AJ432,Equip!$A:$N,6,FALSE)*SQRT(AN432)),0)</f>
        <v>0</v>
      </c>
      <c r="AT432">
        <f>IF(AND(IFERROR(VLOOKUP(AK432,Equip!$A:$N,13,FALSE),0)&gt;=5,IFERROR(VLOOKUP(AK432,Equip!$A:$N,13,FALSE),0)&lt;=9),INT(VLOOKUP(AK432,Equip!$A:$N,6,FALSE)*SQRT(AO432)),0)</f>
        <v>0</v>
      </c>
      <c r="AU432">
        <f>IF(AND(IFERROR(VLOOKUP(AL432,Equip!$A:$N,13,FALSE),0)&gt;=5,IFERROR(VLOOKUP(AL432,Equip!$A:$N,13,FALSE),0)&lt;=9),INT(VLOOKUP(AL432,Equip!$A:$N,6,FALSE)*SQRT(AP432)),0)</f>
        <v>0</v>
      </c>
      <c r="AV432">
        <f>IF(AND(IFERROR(VLOOKUP(AM432,Equip!$A:$N,13,FALSE),0)&gt;=5,IFERROR(VLOOKUP(AM432,Equip!$A:$N,13,FALSE),0)&lt;=9),INT(VLOOKUP(AM432,Equip!$A:$N,6,FALSE)*SQRT(AQ432)),0)</f>
        <v>0</v>
      </c>
      <c r="AW432">
        <f t="shared" si="1249"/>
        <v>0</v>
      </c>
      <c r="AX432">
        <f t="shared" si="1250"/>
        <v>279</v>
      </c>
    </row>
    <row r="433" spans="1:50">
      <c r="A433">
        <v>265</v>
      </c>
      <c r="B433" t="s">
        <v>915</v>
      </c>
      <c r="C433" t="s">
        <v>915</v>
      </c>
      <c r="D433">
        <v>0</v>
      </c>
      <c r="E433">
        <v>1870</v>
      </c>
      <c r="F433">
        <v>1050</v>
      </c>
      <c r="G433">
        <v>265</v>
      </c>
      <c r="H433">
        <v>1</v>
      </c>
      <c r="I433">
        <v>1</v>
      </c>
      <c r="J433">
        <v>11</v>
      </c>
      <c r="K433">
        <v>6</v>
      </c>
      <c r="L433">
        <v>2</v>
      </c>
      <c r="M433">
        <v>36</v>
      </c>
      <c r="N433">
        <v>36</v>
      </c>
      <c r="O433">
        <v>13</v>
      </c>
      <c r="P433">
        <v>9</v>
      </c>
      <c r="Q433">
        <v>11</v>
      </c>
      <c r="R433">
        <v>25</v>
      </c>
      <c r="S433">
        <v>15</v>
      </c>
      <c r="T433">
        <v>13</v>
      </c>
      <c r="U433">
        <v>5</v>
      </c>
      <c r="V433">
        <v>9</v>
      </c>
      <c r="W433">
        <v>2</v>
      </c>
      <c r="X433">
        <v>20</v>
      </c>
      <c r="Y433">
        <v>0</v>
      </c>
      <c r="Z433">
        <v>30</v>
      </c>
      <c r="AA433">
        <v>15</v>
      </c>
      <c r="AB433">
        <v>27</v>
      </c>
      <c r="AC433">
        <v>24</v>
      </c>
      <c r="AD433">
        <v>46</v>
      </c>
      <c r="AE433">
        <v>27</v>
      </c>
      <c r="AF433">
        <v>69</v>
      </c>
      <c r="AG433">
        <v>51</v>
      </c>
      <c r="AH433">
        <v>43</v>
      </c>
      <c r="AI433">
        <v>36</v>
      </c>
      <c r="AJ433">
        <v>119</v>
      </c>
      <c r="AK433">
        <v>10</v>
      </c>
      <c r="AL433">
        <v>44</v>
      </c>
      <c r="AM433">
        <v>-1</v>
      </c>
      <c r="AN433">
        <v>1</v>
      </c>
      <c r="AO433">
        <v>1</v>
      </c>
      <c r="AP433">
        <v>1</v>
      </c>
      <c r="AQ433">
        <v>0</v>
      </c>
      <c r="AR433">
        <f t="shared" si="1248"/>
        <v>3</v>
      </c>
      <c r="AS433">
        <f>IF(AND(IFERROR(VLOOKUP(AJ433,Equip!$A:$N,13,FALSE),0)&gt;=5,IFERROR(VLOOKUP(AJ433,Equip!$A:$N,13,FALSE),0)&lt;=9),INT(VLOOKUP(AJ433,Equip!$A:$N,6,FALSE)*SQRT(AN433)),0)</f>
        <v>0</v>
      </c>
      <c r="AT433">
        <f>IF(AND(IFERROR(VLOOKUP(AK433,Equip!$A:$N,13,FALSE),0)&gt;=5,IFERROR(VLOOKUP(AK433,Equip!$A:$N,13,FALSE),0)&lt;=9),INT(VLOOKUP(AK433,Equip!$A:$N,6,FALSE)*SQRT(AO433)),0)</f>
        <v>0</v>
      </c>
      <c r="AU433">
        <f>IF(AND(IFERROR(VLOOKUP(AL433,Equip!$A:$N,13,FALSE),0)&gt;=5,IFERROR(VLOOKUP(AL433,Equip!$A:$N,13,FALSE),0)&lt;=9),INT(VLOOKUP(AL433,Equip!$A:$N,6,FALSE)*SQRT(AP433)),0)</f>
        <v>0</v>
      </c>
      <c r="AV433">
        <f>IF(AND(IFERROR(VLOOKUP(AM433,Equip!$A:$N,13,FALSE),0)&gt;=5,IFERROR(VLOOKUP(AM433,Equip!$A:$N,13,FALSE),0)&lt;=9),INT(VLOOKUP(AM433,Equip!$A:$N,6,FALSE)*SQRT(AQ433)),0)</f>
        <v>0</v>
      </c>
      <c r="AW433">
        <f t="shared" si="1249"/>
        <v>0</v>
      </c>
      <c r="AX433">
        <f t="shared" si="1250"/>
        <v>290</v>
      </c>
    </row>
    <row r="434" spans="1:50">
      <c r="A434">
        <v>265</v>
      </c>
      <c r="B434" t="s">
        <v>915</v>
      </c>
      <c r="C434" t="s">
        <v>915</v>
      </c>
      <c r="D434">
        <v>1</v>
      </c>
      <c r="E434">
        <f>E433</f>
        <v>1870</v>
      </c>
      <c r="F434">
        <f t="shared" ref="F434" si="1419">F433</f>
        <v>1050</v>
      </c>
      <c r="G434">
        <f t="shared" ref="G434" si="1420">G433</f>
        <v>265</v>
      </c>
      <c r="H434">
        <f t="shared" ref="H434" si="1421">H433</f>
        <v>1</v>
      </c>
      <c r="I434">
        <f t="shared" ref="I434" si="1422">I433</f>
        <v>1</v>
      </c>
      <c r="J434">
        <f t="shared" ref="J434" si="1423">J433</f>
        <v>11</v>
      </c>
      <c r="K434">
        <v>6</v>
      </c>
      <c r="L434">
        <v>2</v>
      </c>
      <c r="M434">
        <v>40</v>
      </c>
      <c r="N434">
        <v>40</v>
      </c>
      <c r="O434">
        <v>13</v>
      </c>
      <c r="P434">
        <v>9</v>
      </c>
      <c r="Q434">
        <v>11</v>
      </c>
      <c r="R434">
        <v>27</v>
      </c>
      <c r="S434">
        <v>15</v>
      </c>
      <c r="T434">
        <v>24</v>
      </c>
      <c r="U434">
        <f t="shared" ref="U434" si="1424">U433</f>
        <v>5</v>
      </c>
      <c r="V434">
        <v>10</v>
      </c>
      <c r="W434">
        <f t="shared" ref="W434" si="1425">W433</f>
        <v>2</v>
      </c>
      <c r="X434">
        <v>20</v>
      </c>
      <c r="Y434">
        <f t="shared" ref="Y434" si="1426">Y433</f>
        <v>0</v>
      </c>
      <c r="Z434">
        <v>35</v>
      </c>
      <c r="AA434">
        <v>20</v>
      </c>
      <c r="AB434">
        <v>37</v>
      </c>
      <c r="AC434">
        <v>39</v>
      </c>
      <c r="AD434">
        <v>62</v>
      </c>
      <c r="AE434">
        <v>39</v>
      </c>
      <c r="AF434">
        <v>79</v>
      </c>
      <c r="AG434">
        <v>54</v>
      </c>
      <c r="AH434">
        <v>69</v>
      </c>
      <c r="AI434">
        <v>50</v>
      </c>
      <c r="AJ434">
        <v>119</v>
      </c>
      <c r="AK434">
        <v>74</v>
      </c>
      <c r="AL434">
        <v>47</v>
      </c>
      <c r="AM434">
        <v>44</v>
      </c>
      <c r="AN434">
        <v>2</v>
      </c>
      <c r="AO434">
        <v>2</v>
      </c>
      <c r="AP434">
        <v>2</v>
      </c>
      <c r="AQ434">
        <v>2</v>
      </c>
      <c r="AR434">
        <f t="shared" si="1248"/>
        <v>8</v>
      </c>
      <c r="AS434">
        <f>IF(AND(IFERROR(VLOOKUP(AJ434,Equip!$A:$N,13,FALSE),0)&gt;=5,IFERROR(VLOOKUP(AJ434,Equip!$A:$N,13,FALSE),0)&lt;=9),INT(VLOOKUP(AJ434,Equip!$A:$N,6,FALSE)*SQRT(AN434)),0)</f>
        <v>0</v>
      </c>
      <c r="AT434">
        <f>IF(AND(IFERROR(VLOOKUP(AK434,Equip!$A:$N,13,FALSE),0)&gt;=5,IFERROR(VLOOKUP(AK434,Equip!$A:$N,13,FALSE),0)&lt;=9),INT(VLOOKUP(AK434,Equip!$A:$N,6,FALSE)*SQRT(AO434)),0)</f>
        <v>0</v>
      </c>
      <c r="AU434">
        <f>IF(AND(IFERROR(VLOOKUP(AL434,Equip!$A:$N,13,FALSE),0)&gt;=5,IFERROR(VLOOKUP(AL434,Equip!$A:$N,13,FALSE),0)&lt;=9),INT(VLOOKUP(AL434,Equip!$A:$N,6,FALSE)*SQRT(AP434)),0)</f>
        <v>0</v>
      </c>
      <c r="AV434">
        <f>IF(AND(IFERROR(VLOOKUP(AM434,Equip!$A:$N,13,FALSE),0)&gt;=5,IFERROR(VLOOKUP(AM434,Equip!$A:$N,13,FALSE),0)&lt;=9),INT(VLOOKUP(AM434,Equip!$A:$N,6,FALSE)*SQRT(AQ434)),0)</f>
        <v>0</v>
      </c>
      <c r="AW434">
        <f t="shared" si="1249"/>
        <v>0</v>
      </c>
      <c r="AX434">
        <f t="shared" si="1250"/>
        <v>390</v>
      </c>
    </row>
    <row r="435" spans="1:50">
      <c r="A435">
        <v>271</v>
      </c>
      <c r="B435" t="s">
        <v>916</v>
      </c>
      <c r="C435" t="s">
        <v>916</v>
      </c>
      <c r="D435">
        <v>0</v>
      </c>
      <c r="E435">
        <v>1213</v>
      </c>
      <c r="F435">
        <v>711</v>
      </c>
      <c r="G435">
        <v>271</v>
      </c>
      <c r="H435">
        <v>1</v>
      </c>
      <c r="I435">
        <v>1</v>
      </c>
      <c r="J435">
        <v>9</v>
      </c>
      <c r="K435">
        <v>1</v>
      </c>
      <c r="L435">
        <v>1</v>
      </c>
      <c r="M435">
        <v>12</v>
      </c>
      <c r="N435">
        <v>12</v>
      </c>
      <c r="O435">
        <v>5</v>
      </c>
      <c r="P435">
        <v>5</v>
      </c>
      <c r="Q435">
        <v>12</v>
      </c>
      <c r="R435">
        <v>39</v>
      </c>
      <c r="S435">
        <v>5</v>
      </c>
      <c r="T435">
        <v>20</v>
      </c>
      <c r="U435">
        <v>10</v>
      </c>
      <c r="V435">
        <v>5</v>
      </c>
      <c r="W435">
        <v>1</v>
      </c>
      <c r="X435">
        <v>30</v>
      </c>
      <c r="Y435">
        <v>0</v>
      </c>
      <c r="Z435">
        <v>15</v>
      </c>
      <c r="AA435">
        <v>15</v>
      </c>
      <c r="AB435">
        <v>28</v>
      </c>
      <c r="AC435">
        <v>36</v>
      </c>
      <c r="AD435">
        <v>26</v>
      </c>
      <c r="AE435">
        <v>17</v>
      </c>
      <c r="AF435">
        <v>79</v>
      </c>
      <c r="AG435">
        <v>80</v>
      </c>
      <c r="AH435">
        <v>60</v>
      </c>
      <c r="AI435">
        <v>18</v>
      </c>
      <c r="AJ435">
        <v>1</v>
      </c>
      <c r="AK435">
        <v>174</v>
      </c>
      <c r="AL435">
        <v>-1</v>
      </c>
      <c r="AM435">
        <v>-1</v>
      </c>
      <c r="AN435">
        <v>0</v>
      </c>
      <c r="AO435">
        <v>0</v>
      </c>
      <c r="AP435">
        <v>0</v>
      </c>
      <c r="AQ435">
        <v>0</v>
      </c>
      <c r="AR435">
        <f t="shared" si="1248"/>
        <v>0</v>
      </c>
      <c r="AS435">
        <f>IF(AND(IFERROR(VLOOKUP(AJ435,Equip!$A:$N,13,FALSE),0)&gt;=5,IFERROR(VLOOKUP(AJ435,Equip!$A:$N,13,FALSE),0)&lt;=9),INT(VLOOKUP(AJ435,Equip!$A:$N,6,FALSE)*SQRT(AN435)),0)</f>
        <v>0</v>
      </c>
      <c r="AT435">
        <f>IF(AND(IFERROR(VLOOKUP(AK435,Equip!$A:$N,13,FALSE),0)&gt;=5,IFERROR(VLOOKUP(AK435,Equip!$A:$N,13,FALSE),0)&lt;=9),INT(VLOOKUP(AK435,Equip!$A:$N,6,FALSE)*SQRT(AO435)),0)</f>
        <v>0</v>
      </c>
      <c r="AU435">
        <f>IF(AND(IFERROR(VLOOKUP(AL435,Equip!$A:$N,13,FALSE),0)&gt;=5,IFERROR(VLOOKUP(AL435,Equip!$A:$N,13,FALSE),0)&lt;=9),INT(VLOOKUP(AL435,Equip!$A:$N,6,FALSE)*SQRT(AP435)),0)</f>
        <v>0</v>
      </c>
      <c r="AV435">
        <f>IF(AND(IFERROR(VLOOKUP(AM435,Equip!$A:$N,13,FALSE),0)&gt;=5,IFERROR(VLOOKUP(AM435,Equip!$A:$N,13,FALSE),0)&lt;=9),INT(VLOOKUP(AM435,Equip!$A:$N,6,FALSE)*SQRT(AQ435)),0)</f>
        <v>0</v>
      </c>
      <c r="AW435">
        <f t="shared" si="1249"/>
        <v>0</v>
      </c>
      <c r="AX435">
        <f t="shared" si="1250"/>
        <v>277</v>
      </c>
    </row>
    <row r="436" spans="1:50">
      <c r="A436">
        <v>271</v>
      </c>
      <c r="B436" t="s">
        <v>916</v>
      </c>
      <c r="C436" t="s">
        <v>916</v>
      </c>
      <c r="D436">
        <v>1</v>
      </c>
      <c r="E436">
        <f>E435</f>
        <v>1213</v>
      </c>
      <c r="F436">
        <f t="shared" ref="F436" si="1427">F435</f>
        <v>711</v>
      </c>
      <c r="G436">
        <f t="shared" ref="G436" si="1428">G435</f>
        <v>271</v>
      </c>
      <c r="H436">
        <f t="shared" ref="H436" si="1429">H435</f>
        <v>1</v>
      </c>
      <c r="I436">
        <f t="shared" ref="I436" si="1430">I435</f>
        <v>1</v>
      </c>
      <c r="J436">
        <f t="shared" ref="J436" si="1431">J435</f>
        <v>9</v>
      </c>
      <c r="K436">
        <v>1</v>
      </c>
      <c r="L436">
        <v>1</v>
      </c>
      <c r="M436">
        <v>23</v>
      </c>
      <c r="N436">
        <v>23</v>
      </c>
      <c r="O436">
        <v>15</v>
      </c>
      <c r="P436">
        <v>16</v>
      </c>
      <c r="Q436">
        <v>26</v>
      </c>
      <c r="R436">
        <v>72</v>
      </c>
      <c r="S436">
        <v>27</v>
      </c>
      <c r="T436">
        <v>46</v>
      </c>
      <c r="U436">
        <f t="shared" ref="U436" si="1432">U435</f>
        <v>10</v>
      </c>
      <c r="V436">
        <v>27</v>
      </c>
      <c r="W436">
        <f t="shared" ref="W436" si="1433">W435</f>
        <v>1</v>
      </c>
      <c r="X436">
        <v>40</v>
      </c>
      <c r="Y436">
        <f t="shared" ref="Y436" si="1434">Y435</f>
        <v>0</v>
      </c>
      <c r="Z436">
        <v>15</v>
      </c>
      <c r="AA436">
        <v>15</v>
      </c>
      <c r="AB436">
        <v>41</v>
      </c>
      <c r="AC436">
        <v>68</v>
      </c>
      <c r="AD436">
        <v>48</v>
      </c>
      <c r="AE436">
        <v>38</v>
      </c>
      <c r="AF436">
        <v>99</v>
      </c>
      <c r="AG436">
        <v>98</v>
      </c>
      <c r="AH436">
        <v>64</v>
      </c>
      <c r="AI436">
        <v>42</v>
      </c>
      <c r="AJ436">
        <v>1</v>
      </c>
      <c r="AK436">
        <v>174</v>
      </c>
      <c r="AL436">
        <v>28</v>
      </c>
      <c r="AM436">
        <v>-1</v>
      </c>
      <c r="AN436">
        <v>0</v>
      </c>
      <c r="AO436">
        <v>0</v>
      </c>
      <c r="AP436">
        <v>0</v>
      </c>
      <c r="AQ436">
        <v>0</v>
      </c>
      <c r="AR436">
        <f t="shared" si="1248"/>
        <v>0</v>
      </c>
      <c r="AS436">
        <f>IF(AND(IFERROR(VLOOKUP(AJ436,Equip!$A:$N,13,FALSE),0)&gt;=5,IFERROR(VLOOKUP(AJ436,Equip!$A:$N,13,FALSE),0)&lt;=9),INT(VLOOKUP(AJ436,Equip!$A:$N,6,FALSE)*SQRT(AN436)),0)</f>
        <v>0</v>
      </c>
      <c r="AT436">
        <f>IF(AND(IFERROR(VLOOKUP(AK436,Equip!$A:$N,13,FALSE),0)&gt;=5,IFERROR(VLOOKUP(AK436,Equip!$A:$N,13,FALSE),0)&lt;=9),INT(VLOOKUP(AK436,Equip!$A:$N,6,FALSE)*SQRT(AO436)),0)</f>
        <v>0</v>
      </c>
      <c r="AU436">
        <f>IF(AND(IFERROR(VLOOKUP(AL436,Equip!$A:$N,13,FALSE),0)&gt;=5,IFERROR(VLOOKUP(AL436,Equip!$A:$N,13,FALSE),0)&lt;=9),INT(VLOOKUP(AL436,Equip!$A:$N,6,FALSE)*SQRT(AP436)),0)</f>
        <v>0</v>
      </c>
      <c r="AV436">
        <f>IF(AND(IFERROR(VLOOKUP(AM436,Equip!$A:$N,13,FALSE),0)&gt;=5,IFERROR(VLOOKUP(AM436,Equip!$A:$N,13,FALSE),0)&lt;=9),INT(VLOOKUP(AM436,Equip!$A:$N,6,FALSE)*SQRT(AQ436)),0)</f>
        <v>0</v>
      </c>
      <c r="AW436">
        <f t="shared" si="1249"/>
        <v>0</v>
      </c>
      <c r="AX436">
        <f t="shared" si="1250"/>
        <v>422</v>
      </c>
    </row>
    <row r="437" spans="1:50">
      <c r="A437">
        <v>272</v>
      </c>
      <c r="B437" t="s">
        <v>917</v>
      </c>
      <c r="C437" t="s">
        <v>917</v>
      </c>
      <c r="D437">
        <v>0</v>
      </c>
      <c r="E437">
        <v>1209</v>
      </c>
      <c r="F437">
        <v>707</v>
      </c>
      <c r="G437">
        <v>272</v>
      </c>
      <c r="H437">
        <v>1</v>
      </c>
      <c r="I437">
        <v>1</v>
      </c>
      <c r="J437">
        <v>4</v>
      </c>
      <c r="K437">
        <v>1</v>
      </c>
      <c r="L437">
        <v>1</v>
      </c>
      <c r="M437">
        <v>12</v>
      </c>
      <c r="N437">
        <v>12</v>
      </c>
      <c r="O437">
        <v>5</v>
      </c>
      <c r="P437">
        <v>5</v>
      </c>
      <c r="Q437">
        <v>12</v>
      </c>
      <c r="R437">
        <v>37</v>
      </c>
      <c r="S437">
        <v>6</v>
      </c>
      <c r="T437">
        <v>17</v>
      </c>
      <c r="U437">
        <v>10</v>
      </c>
      <c r="V437">
        <v>6</v>
      </c>
      <c r="W437">
        <v>1</v>
      </c>
      <c r="X437">
        <v>13</v>
      </c>
      <c r="Y437">
        <v>0</v>
      </c>
      <c r="Z437">
        <v>15</v>
      </c>
      <c r="AA437">
        <v>15</v>
      </c>
      <c r="AB437">
        <v>29</v>
      </c>
      <c r="AC437">
        <v>37</v>
      </c>
      <c r="AD437">
        <v>27</v>
      </c>
      <c r="AE437">
        <v>17</v>
      </c>
      <c r="AF437">
        <v>72</v>
      </c>
      <c r="AG437">
        <v>72</v>
      </c>
      <c r="AH437">
        <v>55</v>
      </c>
      <c r="AI437">
        <v>19</v>
      </c>
      <c r="AJ437">
        <v>1</v>
      </c>
      <c r="AK437">
        <v>174</v>
      </c>
      <c r="AL437">
        <v>-1</v>
      </c>
      <c r="AM437">
        <v>-1</v>
      </c>
      <c r="AN437">
        <v>0</v>
      </c>
      <c r="AO437">
        <v>0</v>
      </c>
      <c r="AP437">
        <v>0</v>
      </c>
      <c r="AQ437">
        <v>0</v>
      </c>
      <c r="AR437">
        <f t="shared" si="1248"/>
        <v>0</v>
      </c>
      <c r="AS437">
        <f>IF(AND(IFERROR(VLOOKUP(AJ437,Equip!$A:$N,13,FALSE),0)&gt;=5,IFERROR(VLOOKUP(AJ437,Equip!$A:$N,13,FALSE),0)&lt;=9),INT(VLOOKUP(AJ437,Equip!$A:$N,6,FALSE)*SQRT(AN437)),0)</f>
        <v>0</v>
      </c>
      <c r="AT437">
        <f>IF(AND(IFERROR(VLOOKUP(AK437,Equip!$A:$N,13,FALSE),0)&gt;=5,IFERROR(VLOOKUP(AK437,Equip!$A:$N,13,FALSE),0)&lt;=9),INT(VLOOKUP(AK437,Equip!$A:$N,6,FALSE)*SQRT(AO437)),0)</f>
        <v>0</v>
      </c>
      <c r="AU437">
        <f>IF(AND(IFERROR(VLOOKUP(AL437,Equip!$A:$N,13,FALSE),0)&gt;=5,IFERROR(VLOOKUP(AL437,Equip!$A:$N,13,FALSE),0)&lt;=9),INT(VLOOKUP(AL437,Equip!$A:$N,6,FALSE)*SQRT(AP437)),0)</f>
        <v>0</v>
      </c>
      <c r="AV437">
        <f>IF(AND(IFERROR(VLOOKUP(AM437,Equip!$A:$N,13,FALSE),0)&gt;=5,IFERROR(VLOOKUP(AM437,Equip!$A:$N,13,FALSE),0)&lt;=9),INT(VLOOKUP(AM437,Equip!$A:$N,6,FALSE)*SQRT(AQ437)),0)</f>
        <v>0</v>
      </c>
      <c r="AW437">
        <f t="shared" si="1249"/>
        <v>0</v>
      </c>
      <c r="AX437">
        <f t="shared" si="1250"/>
        <v>268</v>
      </c>
    </row>
    <row r="438" spans="1:50">
      <c r="A438">
        <v>272</v>
      </c>
      <c r="B438" t="s">
        <v>917</v>
      </c>
      <c r="C438" t="s">
        <v>917</v>
      </c>
      <c r="D438">
        <v>1</v>
      </c>
      <c r="E438">
        <f>E437</f>
        <v>1209</v>
      </c>
      <c r="F438">
        <f t="shared" ref="F438" si="1435">F437</f>
        <v>707</v>
      </c>
      <c r="G438">
        <f t="shared" ref="G438" si="1436">G437</f>
        <v>272</v>
      </c>
      <c r="H438">
        <f t="shared" ref="H438" si="1437">H437</f>
        <v>1</v>
      </c>
      <c r="I438">
        <f t="shared" ref="I438" si="1438">I437</f>
        <v>1</v>
      </c>
      <c r="J438">
        <f t="shared" ref="J438" si="1439">J437</f>
        <v>4</v>
      </c>
      <c r="K438">
        <v>1</v>
      </c>
      <c r="L438">
        <v>1</v>
      </c>
      <c r="M438">
        <v>23</v>
      </c>
      <c r="N438">
        <v>23</v>
      </c>
      <c r="O438">
        <v>15</v>
      </c>
      <c r="P438">
        <v>16</v>
      </c>
      <c r="Q438">
        <v>26</v>
      </c>
      <c r="R438">
        <v>69</v>
      </c>
      <c r="S438">
        <v>27</v>
      </c>
      <c r="T438">
        <v>43</v>
      </c>
      <c r="U438">
        <f t="shared" ref="U438" si="1440">U437</f>
        <v>10</v>
      </c>
      <c r="V438">
        <v>28</v>
      </c>
      <c r="W438">
        <f t="shared" ref="W438" si="1441">W437</f>
        <v>1</v>
      </c>
      <c r="X438">
        <v>14</v>
      </c>
      <c r="Y438">
        <f t="shared" ref="Y438" si="1442">Y437</f>
        <v>0</v>
      </c>
      <c r="Z438">
        <v>15</v>
      </c>
      <c r="AA438">
        <v>15</v>
      </c>
      <c r="AB438">
        <v>42</v>
      </c>
      <c r="AC438">
        <v>69</v>
      </c>
      <c r="AD438">
        <v>52</v>
      </c>
      <c r="AE438">
        <v>37</v>
      </c>
      <c r="AF438">
        <v>88</v>
      </c>
      <c r="AG438">
        <v>88</v>
      </c>
      <c r="AH438">
        <v>68</v>
      </c>
      <c r="AI438">
        <v>47</v>
      </c>
      <c r="AJ438">
        <v>1</v>
      </c>
      <c r="AK438">
        <v>174</v>
      </c>
      <c r="AL438">
        <v>44</v>
      </c>
      <c r="AM438">
        <v>-1</v>
      </c>
      <c r="AN438">
        <v>0</v>
      </c>
      <c r="AO438">
        <v>0</v>
      </c>
      <c r="AP438">
        <v>0</v>
      </c>
      <c r="AQ438">
        <v>0</v>
      </c>
      <c r="AR438">
        <f t="shared" si="1248"/>
        <v>0</v>
      </c>
      <c r="AS438">
        <f>IF(AND(IFERROR(VLOOKUP(AJ438,Equip!$A:$N,13,FALSE),0)&gt;=5,IFERROR(VLOOKUP(AJ438,Equip!$A:$N,13,FALSE),0)&lt;=9),INT(VLOOKUP(AJ438,Equip!$A:$N,6,FALSE)*SQRT(AN438)),0)</f>
        <v>0</v>
      </c>
      <c r="AT438">
        <f>IF(AND(IFERROR(VLOOKUP(AK438,Equip!$A:$N,13,FALSE),0)&gt;=5,IFERROR(VLOOKUP(AK438,Equip!$A:$N,13,FALSE),0)&lt;=9),INT(VLOOKUP(AK438,Equip!$A:$N,6,FALSE)*SQRT(AO438)),0)</f>
        <v>0</v>
      </c>
      <c r="AU438">
        <f>IF(AND(IFERROR(VLOOKUP(AL438,Equip!$A:$N,13,FALSE),0)&gt;=5,IFERROR(VLOOKUP(AL438,Equip!$A:$N,13,FALSE),0)&lt;=9),INT(VLOOKUP(AL438,Equip!$A:$N,6,FALSE)*SQRT(AP438)),0)</f>
        <v>0</v>
      </c>
      <c r="AV438">
        <f>IF(AND(IFERROR(VLOOKUP(AM438,Equip!$A:$N,13,FALSE),0)&gt;=5,IFERROR(VLOOKUP(AM438,Equip!$A:$N,13,FALSE),0)&lt;=9),INT(VLOOKUP(AM438,Equip!$A:$N,6,FALSE)*SQRT(AQ438)),0)</f>
        <v>0</v>
      </c>
      <c r="AW438">
        <f t="shared" si="1249"/>
        <v>0</v>
      </c>
      <c r="AX438">
        <f t="shared" si="1250"/>
        <v>426</v>
      </c>
    </row>
    <row r="439" spans="1:50">
      <c r="A439">
        <v>273</v>
      </c>
      <c r="B439" t="s">
        <v>918</v>
      </c>
      <c r="C439" t="s">
        <v>918</v>
      </c>
      <c r="D439">
        <v>0</v>
      </c>
      <c r="E439">
        <v>1207</v>
      </c>
      <c r="F439">
        <v>702</v>
      </c>
      <c r="G439">
        <v>273</v>
      </c>
      <c r="H439">
        <v>1</v>
      </c>
      <c r="I439">
        <v>1</v>
      </c>
      <c r="J439">
        <v>1</v>
      </c>
      <c r="K439">
        <v>1</v>
      </c>
      <c r="L439">
        <v>1</v>
      </c>
      <c r="M439">
        <v>12</v>
      </c>
      <c r="N439">
        <v>12</v>
      </c>
      <c r="O439">
        <v>5</v>
      </c>
      <c r="P439">
        <v>5</v>
      </c>
      <c r="Q439">
        <v>12</v>
      </c>
      <c r="R439">
        <v>38</v>
      </c>
      <c r="S439">
        <v>6</v>
      </c>
      <c r="T439">
        <v>18</v>
      </c>
      <c r="U439">
        <v>10</v>
      </c>
      <c r="V439">
        <v>4</v>
      </c>
      <c r="W439">
        <v>1</v>
      </c>
      <c r="X439">
        <v>25</v>
      </c>
      <c r="Y439">
        <v>0</v>
      </c>
      <c r="Z439">
        <v>15</v>
      </c>
      <c r="AA439">
        <v>15</v>
      </c>
      <c r="AB439">
        <v>27</v>
      </c>
      <c r="AC439">
        <v>36</v>
      </c>
      <c r="AD439">
        <v>28</v>
      </c>
      <c r="AE439">
        <v>17</v>
      </c>
      <c r="AF439">
        <v>74</v>
      </c>
      <c r="AG439">
        <v>74</v>
      </c>
      <c r="AH439">
        <v>56</v>
      </c>
      <c r="AI439">
        <v>17</v>
      </c>
      <c r="AJ439">
        <v>1</v>
      </c>
      <c r="AK439">
        <v>174</v>
      </c>
      <c r="AL439">
        <v>-1</v>
      </c>
      <c r="AM439">
        <v>-1</v>
      </c>
      <c r="AN439">
        <v>0</v>
      </c>
      <c r="AO439">
        <v>0</v>
      </c>
      <c r="AP439">
        <v>0</v>
      </c>
      <c r="AQ439">
        <v>0</v>
      </c>
      <c r="AR439">
        <f t="shared" si="1248"/>
        <v>0</v>
      </c>
      <c r="AS439">
        <f>IF(AND(IFERROR(VLOOKUP(AJ439,Equip!$A:$N,13,FALSE),0)&gt;=5,IFERROR(VLOOKUP(AJ439,Equip!$A:$N,13,FALSE),0)&lt;=9),INT(VLOOKUP(AJ439,Equip!$A:$N,6,FALSE)*SQRT(AN439)),0)</f>
        <v>0</v>
      </c>
      <c r="AT439">
        <f>IF(AND(IFERROR(VLOOKUP(AK439,Equip!$A:$N,13,FALSE),0)&gt;=5,IFERROR(VLOOKUP(AK439,Equip!$A:$N,13,FALSE),0)&lt;=9),INT(VLOOKUP(AK439,Equip!$A:$N,6,FALSE)*SQRT(AO439)),0)</f>
        <v>0</v>
      </c>
      <c r="AU439">
        <f>IF(AND(IFERROR(VLOOKUP(AL439,Equip!$A:$N,13,FALSE),0)&gt;=5,IFERROR(VLOOKUP(AL439,Equip!$A:$N,13,FALSE),0)&lt;=9),INT(VLOOKUP(AL439,Equip!$A:$N,6,FALSE)*SQRT(AP439)),0)</f>
        <v>0</v>
      </c>
      <c r="AV439">
        <f>IF(AND(IFERROR(VLOOKUP(AM439,Equip!$A:$N,13,FALSE),0)&gt;=5,IFERROR(VLOOKUP(AM439,Equip!$A:$N,13,FALSE),0)&lt;=9),INT(VLOOKUP(AM439,Equip!$A:$N,6,FALSE)*SQRT(AQ439)),0)</f>
        <v>0</v>
      </c>
      <c r="AW439">
        <f t="shared" si="1249"/>
        <v>0</v>
      </c>
      <c r="AX439">
        <f t="shared" si="1250"/>
        <v>267</v>
      </c>
    </row>
    <row r="440" spans="1:50">
      <c r="A440">
        <v>273</v>
      </c>
      <c r="B440" t="s">
        <v>918</v>
      </c>
      <c r="C440" t="s">
        <v>918</v>
      </c>
      <c r="D440">
        <v>1</v>
      </c>
      <c r="E440">
        <f>E439</f>
        <v>1207</v>
      </c>
      <c r="F440">
        <f t="shared" ref="F440" si="1443">F439</f>
        <v>702</v>
      </c>
      <c r="G440">
        <f t="shared" ref="G440" si="1444">G439</f>
        <v>273</v>
      </c>
      <c r="H440">
        <f t="shared" ref="H440" si="1445">H439</f>
        <v>1</v>
      </c>
      <c r="I440">
        <f t="shared" ref="I440" si="1446">I439</f>
        <v>1</v>
      </c>
      <c r="J440">
        <f t="shared" ref="J440" si="1447">J439</f>
        <v>1</v>
      </c>
      <c r="K440">
        <v>1</v>
      </c>
      <c r="L440">
        <v>1</v>
      </c>
      <c r="M440">
        <v>23</v>
      </c>
      <c r="N440">
        <v>23</v>
      </c>
      <c r="O440">
        <v>15</v>
      </c>
      <c r="P440">
        <v>16</v>
      </c>
      <c r="Q440">
        <v>26</v>
      </c>
      <c r="R440">
        <v>70</v>
      </c>
      <c r="S440">
        <v>27</v>
      </c>
      <c r="T440">
        <v>44</v>
      </c>
      <c r="U440">
        <f t="shared" ref="U440" si="1448">U439</f>
        <v>10</v>
      </c>
      <c r="V440">
        <v>26</v>
      </c>
      <c r="W440">
        <f t="shared" ref="W440" si="1449">W439</f>
        <v>1</v>
      </c>
      <c r="X440">
        <v>40</v>
      </c>
      <c r="Y440">
        <f t="shared" ref="Y440" si="1450">Y439</f>
        <v>0</v>
      </c>
      <c r="Z440">
        <v>15</v>
      </c>
      <c r="AA440">
        <v>15</v>
      </c>
      <c r="AB440">
        <v>38</v>
      </c>
      <c r="AC440">
        <v>68</v>
      </c>
      <c r="AD440">
        <v>56</v>
      </c>
      <c r="AE440">
        <v>38</v>
      </c>
      <c r="AF440">
        <v>89</v>
      </c>
      <c r="AG440">
        <v>89</v>
      </c>
      <c r="AH440">
        <v>68</v>
      </c>
      <c r="AI440">
        <v>39</v>
      </c>
      <c r="AJ440">
        <v>1</v>
      </c>
      <c r="AK440">
        <v>174</v>
      </c>
      <c r="AL440">
        <v>39</v>
      </c>
      <c r="AM440">
        <v>-1</v>
      </c>
      <c r="AN440">
        <v>0</v>
      </c>
      <c r="AO440">
        <v>0</v>
      </c>
      <c r="AP440">
        <v>0</v>
      </c>
      <c r="AQ440">
        <v>0</v>
      </c>
      <c r="AR440">
        <f t="shared" si="1248"/>
        <v>0</v>
      </c>
      <c r="AS440">
        <f>IF(AND(IFERROR(VLOOKUP(AJ440,Equip!$A:$N,13,FALSE),0)&gt;=5,IFERROR(VLOOKUP(AJ440,Equip!$A:$N,13,FALSE),0)&lt;=9),INT(VLOOKUP(AJ440,Equip!$A:$N,6,FALSE)*SQRT(AN440)),0)</f>
        <v>0</v>
      </c>
      <c r="AT440">
        <f>IF(AND(IFERROR(VLOOKUP(AK440,Equip!$A:$N,13,FALSE),0)&gt;=5,IFERROR(VLOOKUP(AK440,Equip!$A:$N,13,FALSE),0)&lt;=9),INT(VLOOKUP(AK440,Equip!$A:$N,6,FALSE)*SQRT(AO440)),0)</f>
        <v>0</v>
      </c>
      <c r="AU440">
        <f>IF(AND(IFERROR(VLOOKUP(AL440,Equip!$A:$N,13,FALSE),0)&gt;=5,IFERROR(VLOOKUP(AL440,Equip!$A:$N,13,FALSE),0)&lt;=9),INT(VLOOKUP(AL440,Equip!$A:$N,6,FALSE)*SQRT(AP440)),0)</f>
        <v>0</v>
      </c>
      <c r="AV440">
        <f>IF(AND(IFERROR(VLOOKUP(AM440,Equip!$A:$N,13,FALSE),0)&gt;=5,IFERROR(VLOOKUP(AM440,Equip!$A:$N,13,FALSE),0)&lt;=9),INT(VLOOKUP(AM440,Equip!$A:$N,6,FALSE)*SQRT(AQ440)),0)</f>
        <v>0</v>
      </c>
      <c r="AW440">
        <f t="shared" si="1249"/>
        <v>0</v>
      </c>
      <c r="AX440">
        <f t="shared" si="1250"/>
        <v>419</v>
      </c>
    </row>
    <row r="441" spans="1:50">
      <c r="A441">
        <v>274</v>
      </c>
      <c r="B441" t="s">
        <v>919</v>
      </c>
      <c r="C441" t="s">
        <v>919</v>
      </c>
      <c r="D441">
        <v>0</v>
      </c>
      <c r="E441">
        <v>1223</v>
      </c>
      <c r="F441">
        <v>714</v>
      </c>
      <c r="G441">
        <v>274</v>
      </c>
      <c r="H441">
        <v>1</v>
      </c>
      <c r="I441">
        <v>1</v>
      </c>
      <c r="J441">
        <v>4</v>
      </c>
      <c r="K441">
        <v>1</v>
      </c>
      <c r="L441">
        <v>1</v>
      </c>
      <c r="M441">
        <v>12</v>
      </c>
      <c r="N441">
        <v>12</v>
      </c>
      <c r="O441">
        <v>5</v>
      </c>
      <c r="P441">
        <v>5</v>
      </c>
      <c r="Q441">
        <v>12</v>
      </c>
      <c r="R441">
        <v>36</v>
      </c>
      <c r="S441">
        <v>5</v>
      </c>
      <c r="T441">
        <v>21</v>
      </c>
      <c r="U441">
        <v>3</v>
      </c>
      <c r="V441">
        <v>4</v>
      </c>
      <c r="W441">
        <v>1</v>
      </c>
      <c r="X441">
        <v>12</v>
      </c>
      <c r="Y441">
        <v>0</v>
      </c>
      <c r="Z441">
        <v>15</v>
      </c>
      <c r="AA441">
        <v>15</v>
      </c>
      <c r="AB441">
        <v>28</v>
      </c>
      <c r="AC441">
        <v>38</v>
      </c>
      <c r="AD441">
        <v>25</v>
      </c>
      <c r="AE441">
        <v>17</v>
      </c>
      <c r="AF441">
        <v>70</v>
      </c>
      <c r="AG441">
        <v>73</v>
      </c>
      <c r="AH441">
        <v>62</v>
      </c>
      <c r="AI441">
        <v>18</v>
      </c>
      <c r="AJ441">
        <v>1</v>
      </c>
      <c r="AK441">
        <v>174</v>
      </c>
      <c r="AL441">
        <v>-1</v>
      </c>
      <c r="AM441">
        <v>-1</v>
      </c>
      <c r="AN441">
        <v>0</v>
      </c>
      <c r="AO441">
        <v>0</v>
      </c>
      <c r="AP441">
        <v>0</v>
      </c>
      <c r="AQ441">
        <v>0</v>
      </c>
      <c r="AR441">
        <f t="shared" si="1248"/>
        <v>0</v>
      </c>
      <c r="AS441">
        <f>IF(AND(IFERROR(VLOOKUP(AJ441,Equip!$A:$N,13,FALSE),0)&gt;=5,IFERROR(VLOOKUP(AJ441,Equip!$A:$N,13,FALSE),0)&lt;=9),INT(VLOOKUP(AJ441,Equip!$A:$N,6,FALSE)*SQRT(AN441)),0)</f>
        <v>0</v>
      </c>
      <c r="AT441">
        <f>IF(AND(IFERROR(VLOOKUP(AK441,Equip!$A:$N,13,FALSE),0)&gt;=5,IFERROR(VLOOKUP(AK441,Equip!$A:$N,13,FALSE),0)&lt;=9),INT(VLOOKUP(AK441,Equip!$A:$N,6,FALSE)*SQRT(AO441)),0)</f>
        <v>0</v>
      </c>
      <c r="AU441">
        <f>IF(AND(IFERROR(VLOOKUP(AL441,Equip!$A:$N,13,FALSE),0)&gt;=5,IFERROR(VLOOKUP(AL441,Equip!$A:$N,13,FALSE),0)&lt;=9),INT(VLOOKUP(AL441,Equip!$A:$N,6,FALSE)*SQRT(AP441)),0)</f>
        <v>0</v>
      </c>
      <c r="AV441">
        <f>IF(AND(IFERROR(VLOOKUP(AM441,Equip!$A:$N,13,FALSE),0)&gt;=5,IFERROR(VLOOKUP(AM441,Equip!$A:$N,13,FALSE),0)&lt;=9),INT(VLOOKUP(AM441,Equip!$A:$N,6,FALSE)*SQRT(AQ441)),0)</f>
        <v>0</v>
      </c>
      <c r="AW441">
        <f t="shared" si="1249"/>
        <v>0</v>
      </c>
      <c r="AX441">
        <f t="shared" si="1250"/>
        <v>273</v>
      </c>
    </row>
    <row r="442" spans="1:50">
      <c r="A442">
        <v>274</v>
      </c>
      <c r="B442" t="s">
        <v>919</v>
      </c>
      <c r="C442" t="s">
        <v>919</v>
      </c>
      <c r="D442">
        <v>1</v>
      </c>
      <c r="E442">
        <f>E441</f>
        <v>1223</v>
      </c>
      <c r="F442">
        <f t="shared" ref="F442" si="1451">F441</f>
        <v>714</v>
      </c>
      <c r="G442">
        <f t="shared" ref="G442" si="1452">G441</f>
        <v>274</v>
      </c>
      <c r="H442">
        <f t="shared" ref="H442" si="1453">H441</f>
        <v>1</v>
      </c>
      <c r="I442">
        <f t="shared" ref="I442" si="1454">I441</f>
        <v>1</v>
      </c>
      <c r="J442">
        <f t="shared" ref="J442" si="1455">J441</f>
        <v>4</v>
      </c>
      <c r="K442">
        <v>1</v>
      </c>
      <c r="L442">
        <v>1</v>
      </c>
      <c r="M442">
        <v>23</v>
      </c>
      <c r="N442">
        <v>23</v>
      </c>
      <c r="O442">
        <v>14</v>
      </c>
      <c r="P442">
        <v>16</v>
      </c>
      <c r="Q442">
        <v>25</v>
      </c>
      <c r="R442">
        <v>68</v>
      </c>
      <c r="S442">
        <v>19</v>
      </c>
      <c r="T442">
        <v>45</v>
      </c>
      <c r="U442">
        <f t="shared" ref="U442" si="1456">U441</f>
        <v>3</v>
      </c>
      <c r="V442">
        <v>28</v>
      </c>
      <c r="W442">
        <f t="shared" ref="W442" si="1457">W441</f>
        <v>1</v>
      </c>
      <c r="X442">
        <v>12</v>
      </c>
      <c r="Y442">
        <f t="shared" ref="Y442" si="1458">Y441</f>
        <v>0</v>
      </c>
      <c r="Z442">
        <v>15</v>
      </c>
      <c r="AA442">
        <v>15</v>
      </c>
      <c r="AB442">
        <v>39</v>
      </c>
      <c r="AC442">
        <v>68</v>
      </c>
      <c r="AD442">
        <v>50</v>
      </c>
      <c r="AE442">
        <v>37</v>
      </c>
      <c r="AF442">
        <v>84</v>
      </c>
      <c r="AG442">
        <v>87</v>
      </c>
      <c r="AH442">
        <v>70</v>
      </c>
      <c r="AI442">
        <v>47</v>
      </c>
      <c r="AJ442">
        <v>1</v>
      </c>
      <c r="AK442">
        <v>46</v>
      </c>
      <c r="AL442">
        <v>44</v>
      </c>
      <c r="AM442">
        <v>-1</v>
      </c>
      <c r="AN442">
        <v>0</v>
      </c>
      <c r="AO442">
        <v>0</v>
      </c>
      <c r="AP442">
        <v>0</v>
      </c>
      <c r="AQ442">
        <v>0</v>
      </c>
      <c r="AR442">
        <f t="shared" si="1248"/>
        <v>0</v>
      </c>
      <c r="AS442">
        <f>IF(AND(IFERROR(VLOOKUP(AJ442,Equip!$A:$N,13,FALSE),0)&gt;=5,IFERROR(VLOOKUP(AJ442,Equip!$A:$N,13,FALSE),0)&lt;=9),INT(VLOOKUP(AJ442,Equip!$A:$N,6,FALSE)*SQRT(AN442)),0)</f>
        <v>0</v>
      </c>
      <c r="AT442">
        <f>IF(AND(IFERROR(VLOOKUP(AK442,Equip!$A:$N,13,FALSE),0)&gt;=5,IFERROR(VLOOKUP(AK442,Equip!$A:$N,13,FALSE),0)&lt;=9),INT(VLOOKUP(AK442,Equip!$A:$N,6,FALSE)*SQRT(AO442)),0)</f>
        <v>0</v>
      </c>
      <c r="AU442">
        <f>IF(AND(IFERROR(VLOOKUP(AL442,Equip!$A:$N,13,FALSE),0)&gt;=5,IFERROR(VLOOKUP(AL442,Equip!$A:$N,13,FALSE),0)&lt;=9),INT(VLOOKUP(AL442,Equip!$A:$N,6,FALSE)*SQRT(AP442)),0)</f>
        <v>0</v>
      </c>
      <c r="AV442">
        <f>IF(AND(IFERROR(VLOOKUP(AM442,Equip!$A:$N,13,FALSE),0)&gt;=5,IFERROR(VLOOKUP(AM442,Equip!$A:$N,13,FALSE),0)&lt;=9),INT(VLOOKUP(AM442,Equip!$A:$N,6,FALSE)*SQRT(AQ442)),0)</f>
        <v>0</v>
      </c>
      <c r="AW442">
        <f t="shared" si="1249"/>
        <v>0</v>
      </c>
      <c r="AX442">
        <f t="shared" si="1250"/>
        <v>421</v>
      </c>
    </row>
    <row r="443" spans="1:50">
      <c r="A443">
        <v>281</v>
      </c>
      <c r="B443" t="s">
        <v>920</v>
      </c>
      <c r="C443" t="s">
        <v>920</v>
      </c>
      <c r="D443">
        <v>0</v>
      </c>
      <c r="E443">
        <v>1213</v>
      </c>
      <c r="F443">
        <v>708</v>
      </c>
      <c r="G443">
        <v>281</v>
      </c>
      <c r="H443">
        <v>0</v>
      </c>
      <c r="I443">
        <v>1</v>
      </c>
      <c r="J443">
        <v>3</v>
      </c>
      <c r="K443">
        <v>1</v>
      </c>
      <c r="L443">
        <v>1</v>
      </c>
      <c r="M443">
        <v>13</v>
      </c>
      <c r="N443">
        <v>13</v>
      </c>
      <c r="O443">
        <v>7</v>
      </c>
      <c r="P443">
        <v>5</v>
      </c>
      <c r="Q443">
        <v>18</v>
      </c>
      <c r="R443">
        <v>37</v>
      </c>
      <c r="S443">
        <v>8</v>
      </c>
      <c r="T443">
        <v>17</v>
      </c>
      <c r="U443">
        <v>10</v>
      </c>
      <c r="V443">
        <v>4</v>
      </c>
      <c r="W443">
        <v>1</v>
      </c>
      <c r="X443">
        <v>13</v>
      </c>
      <c r="Y443">
        <v>0</v>
      </c>
      <c r="Z443">
        <v>15</v>
      </c>
      <c r="AA443">
        <v>15</v>
      </c>
      <c r="AB443">
        <v>29</v>
      </c>
      <c r="AC443">
        <v>49</v>
      </c>
      <c r="AD443">
        <v>29</v>
      </c>
      <c r="AE443">
        <v>18</v>
      </c>
      <c r="AF443">
        <v>53</v>
      </c>
      <c r="AG443">
        <v>69</v>
      </c>
      <c r="AH443">
        <v>41</v>
      </c>
      <c r="AI443">
        <v>17</v>
      </c>
      <c r="AJ443">
        <v>1</v>
      </c>
      <c r="AK443">
        <v>0</v>
      </c>
      <c r="AL443">
        <v>-1</v>
      </c>
      <c r="AM443">
        <v>-1</v>
      </c>
      <c r="AN443">
        <v>0</v>
      </c>
      <c r="AO443">
        <v>0</v>
      </c>
      <c r="AP443">
        <v>0</v>
      </c>
      <c r="AQ443">
        <v>0</v>
      </c>
      <c r="AR443">
        <f t="shared" si="1248"/>
        <v>0</v>
      </c>
      <c r="AS443">
        <f>IF(AND(IFERROR(VLOOKUP(AJ443,Equip!$A:$N,13,FALSE),0)&gt;=5,IFERROR(VLOOKUP(AJ443,Equip!$A:$N,13,FALSE),0)&lt;=9),INT(VLOOKUP(AJ443,Equip!$A:$N,6,FALSE)*SQRT(AN443)),0)</f>
        <v>0</v>
      </c>
      <c r="AT443">
        <f>IF(AND(IFERROR(VLOOKUP(AK443,Equip!$A:$N,13,FALSE),0)&gt;=5,IFERROR(VLOOKUP(AK443,Equip!$A:$N,13,FALSE),0)&lt;=9),INT(VLOOKUP(AK443,Equip!$A:$N,6,FALSE)*SQRT(AO443)),0)</f>
        <v>0</v>
      </c>
      <c r="AU443">
        <f>IF(AND(IFERROR(VLOOKUP(AL443,Equip!$A:$N,13,FALSE),0)&gt;=5,IFERROR(VLOOKUP(AL443,Equip!$A:$N,13,FALSE),0)&lt;=9),INT(VLOOKUP(AL443,Equip!$A:$N,6,FALSE)*SQRT(AP443)),0)</f>
        <v>0</v>
      </c>
      <c r="AV443">
        <f>IF(AND(IFERROR(VLOOKUP(AM443,Equip!$A:$N,13,FALSE),0)&gt;=5,IFERROR(VLOOKUP(AM443,Equip!$A:$N,13,FALSE),0)&lt;=9),INT(VLOOKUP(AM443,Equip!$A:$N,6,FALSE)*SQRT(AQ443)),0)</f>
        <v>0</v>
      </c>
      <c r="AW443">
        <f t="shared" si="1249"/>
        <v>0</v>
      </c>
      <c r="AX443">
        <f t="shared" si="1250"/>
        <v>265</v>
      </c>
    </row>
    <row r="444" spans="1:50">
      <c r="A444">
        <v>281</v>
      </c>
      <c r="B444" t="s">
        <v>920</v>
      </c>
      <c r="C444" t="s">
        <v>920</v>
      </c>
      <c r="D444">
        <v>1</v>
      </c>
      <c r="E444">
        <f>E443</f>
        <v>1213</v>
      </c>
      <c r="F444">
        <f t="shared" ref="F444" si="1459">F443</f>
        <v>708</v>
      </c>
      <c r="G444">
        <f t="shared" ref="G444" si="1460">G443</f>
        <v>281</v>
      </c>
      <c r="H444">
        <f t="shared" ref="H444" si="1461">H443</f>
        <v>0</v>
      </c>
      <c r="I444">
        <f t="shared" ref="I444" si="1462">I443</f>
        <v>1</v>
      </c>
      <c r="J444">
        <f t="shared" ref="J444" si="1463">J443</f>
        <v>3</v>
      </c>
      <c r="K444">
        <v>1</v>
      </c>
      <c r="L444">
        <v>1</v>
      </c>
      <c r="M444">
        <v>24</v>
      </c>
      <c r="N444">
        <v>24</v>
      </c>
      <c r="O444">
        <v>7</v>
      </c>
      <c r="P444">
        <v>5</v>
      </c>
      <c r="Q444">
        <v>18</v>
      </c>
      <c r="R444">
        <v>50</v>
      </c>
      <c r="S444">
        <v>8</v>
      </c>
      <c r="T444">
        <v>27</v>
      </c>
      <c r="U444">
        <f t="shared" ref="U444" si="1464">U443</f>
        <v>10</v>
      </c>
      <c r="V444">
        <v>15</v>
      </c>
      <c r="W444">
        <f t="shared" ref="W444" si="1465">W443</f>
        <v>1</v>
      </c>
      <c r="X444">
        <v>16</v>
      </c>
      <c r="Y444">
        <f t="shared" ref="Y444" si="1466">Y443</f>
        <v>0</v>
      </c>
      <c r="Z444">
        <v>15</v>
      </c>
      <c r="AA444">
        <v>15</v>
      </c>
      <c r="AB444">
        <v>39</v>
      </c>
      <c r="AC444">
        <v>69</v>
      </c>
      <c r="AD444">
        <v>39</v>
      </c>
      <c r="AE444">
        <v>39</v>
      </c>
      <c r="AF444">
        <v>66</v>
      </c>
      <c r="AG444">
        <v>89</v>
      </c>
      <c r="AH444">
        <v>61</v>
      </c>
      <c r="AI444">
        <v>39</v>
      </c>
      <c r="AJ444">
        <v>48</v>
      </c>
      <c r="AK444">
        <v>13</v>
      </c>
      <c r="AL444">
        <v>27</v>
      </c>
      <c r="AM444">
        <v>-1</v>
      </c>
      <c r="AN444">
        <v>0</v>
      </c>
      <c r="AO444">
        <v>0</v>
      </c>
      <c r="AP444">
        <v>0</v>
      </c>
      <c r="AQ444">
        <v>0</v>
      </c>
      <c r="AR444">
        <f t="shared" si="1248"/>
        <v>0</v>
      </c>
      <c r="AS444">
        <f>IF(AND(IFERROR(VLOOKUP(AJ444,Equip!$A:$N,13,FALSE),0)&gt;=5,IFERROR(VLOOKUP(AJ444,Equip!$A:$N,13,FALSE),0)&lt;=9),INT(VLOOKUP(AJ444,Equip!$A:$N,6,FALSE)*SQRT(AN444)),0)</f>
        <v>0</v>
      </c>
      <c r="AT444">
        <f>IF(AND(IFERROR(VLOOKUP(AK444,Equip!$A:$N,13,FALSE),0)&gt;=5,IFERROR(VLOOKUP(AK444,Equip!$A:$N,13,FALSE),0)&lt;=9),INT(VLOOKUP(AK444,Equip!$A:$N,6,FALSE)*SQRT(AO444)),0)</f>
        <v>0</v>
      </c>
      <c r="AU444">
        <f>IF(AND(IFERROR(VLOOKUP(AL444,Equip!$A:$N,13,FALSE),0)&gt;=5,IFERROR(VLOOKUP(AL444,Equip!$A:$N,13,FALSE),0)&lt;=9),INT(VLOOKUP(AL444,Equip!$A:$N,6,FALSE)*SQRT(AP444)),0)</f>
        <v>0</v>
      </c>
      <c r="AV444">
        <f>IF(AND(IFERROR(VLOOKUP(AM444,Equip!$A:$N,13,FALSE),0)&gt;=5,IFERROR(VLOOKUP(AM444,Equip!$A:$N,13,FALSE),0)&lt;=9),INT(VLOOKUP(AM444,Equip!$A:$N,6,FALSE)*SQRT(AQ444)),0)</f>
        <v>0</v>
      </c>
      <c r="AW444">
        <f t="shared" si="1249"/>
        <v>0</v>
      </c>
      <c r="AX444">
        <f t="shared" si="1250"/>
        <v>399</v>
      </c>
    </row>
    <row r="445" spans="1:50">
      <c r="A445">
        <v>283</v>
      </c>
      <c r="B445" t="s">
        <v>921</v>
      </c>
      <c r="C445" t="s">
        <v>921</v>
      </c>
      <c r="D445">
        <v>0</v>
      </c>
      <c r="E445">
        <v>1231</v>
      </c>
      <c r="F445">
        <v>727</v>
      </c>
      <c r="G445">
        <v>283</v>
      </c>
      <c r="H445">
        <v>1</v>
      </c>
      <c r="I445">
        <v>1</v>
      </c>
      <c r="J445">
        <v>4</v>
      </c>
      <c r="K445">
        <v>14</v>
      </c>
      <c r="L445">
        <v>1</v>
      </c>
      <c r="M445">
        <v>14</v>
      </c>
      <c r="N445">
        <v>14</v>
      </c>
      <c r="O445">
        <v>2</v>
      </c>
      <c r="P445">
        <v>4</v>
      </c>
      <c r="Q445">
        <v>32</v>
      </c>
      <c r="R445">
        <v>13</v>
      </c>
      <c r="S445">
        <v>0</v>
      </c>
      <c r="T445">
        <v>0</v>
      </c>
      <c r="U445">
        <v>5</v>
      </c>
      <c r="V445">
        <v>10</v>
      </c>
      <c r="W445">
        <v>1</v>
      </c>
      <c r="X445">
        <v>14</v>
      </c>
      <c r="Y445">
        <v>0</v>
      </c>
      <c r="Z445">
        <v>10</v>
      </c>
      <c r="AA445">
        <v>20</v>
      </c>
      <c r="AB445">
        <v>9</v>
      </c>
      <c r="AC445">
        <v>75</v>
      </c>
      <c r="AD445">
        <v>0</v>
      </c>
      <c r="AE445">
        <v>18</v>
      </c>
      <c r="AF445">
        <v>51</v>
      </c>
      <c r="AG445">
        <v>37</v>
      </c>
      <c r="AH445">
        <v>0</v>
      </c>
      <c r="AI445">
        <v>39</v>
      </c>
      <c r="AJ445">
        <v>0</v>
      </c>
      <c r="AK445">
        <v>-1</v>
      </c>
      <c r="AL445">
        <v>-1</v>
      </c>
      <c r="AM445">
        <v>-1</v>
      </c>
      <c r="AN445">
        <v>0</v>
      </c>
      <c r="AO445">
        <v>0</v>
      </c>
      <c r="AP445">
        <v>0</v>
      </c>
      <c r="AQ445">
        <v>0</v>
      </c>
      <c r="AR445">
        <f t="shared" si="1248"/>
        <v>0</v>
      </c>
      <c r="AS445">
        <f>IF(AND(IFERROR(VLOOKUP(AJ445,Equip!$A:$N,13,FALSE),0)&gt;=5,IFERROR(VLOOKUP(AJ445,Equip!$A:$N,13,FALSE),0)&lt;=9),INT(VLOOKUP(AJ445,Equip!$A:$N,6,FALSE)*SQRT(AN445)),0)</f>
        <v>0</v>
      </c>
      <c r="AT445">
        <f>IF(AND(IFERROR(VLOOKUP(AK445,Equip!$A:$N,13,FALSE),0)&gt;=5,IFERROR(VLOOKUP(AK445,Equip!$A:$N,13,FALSE),0)&lt;=9),INT(VLOOKUP(AK445,Equip!$A:$N,6,FALSE)*SQRT(AO445)),0)</f>
        <v>0</v>
      </c>
      <c r="AU445">
        <f>IF(AND(IFERROR(VLOOKUP(AL445,Equip!$A:$N,13,FALSE),0)&gt;=5,IFERROR(VLOOKUP(AL445,Equip!$A:$N,13,FALSE),0)&lt;=9),INT(VLOOKUP(AL445,Equip!$A:$N,6,FALSE)*SQRT(AP445)),0)</f>
        <v>0</v>
      </c>
      <c r="AV445">
        <f>IF(AND(IFERROR(VLOOKUP(AM445,Equip!$A:$N,13,FALSE),0)&gt;=5,IFERROR(VLOOKUP(AM445,Equip!$A:$N,13,FALSE),0)&lt;=9),INT(VLOOKUP(AM445,Equip!$A:$N,6,FALSE)*SQRT(AQ445)),0)</f>
        <v>0</v>
      </c>
      <c r="AW445">
        <f t="shared" si="1249"/>
        <v>0</v>
      </c>
      <c r="AX445">
        <f t="shared" si="1250"/>
        <v>192</v>
      </c>
    </row>
    <row r="446" spans="1:50">
      <c r="A446">
        <v>283</v>
      </c>
      <c r="B446" t="s">
        <v>921</v>
      </c>
      <c r="C446" t="s">
        <v>921</v>
      </c>
      <c r="D446">
        <v>1</v>
      </c>
      <c r="E446">
        <f>E445</f>
        <v>1231</v>
      </c>
      <c r="F446">
        <f t="shared" ref="F446" si="1467">F445</f>
        <v>727</v>
      </c>
      <c r="G446">
        <f t="shared" ref="G446" si="1468">G445</f>
        <v>283</v>
      </c>
      <c r="H446">
        <f t="shared" ref="H446" si="1469">H445</f>
        <v>1</v>
      </c>
      <c r="I446">
        <f t="shared" ref="I446" si="1470">I445</f>
        <v>1</v>
      </c>
      <c r="J446">
        <f t="shared" ref="J446" si="1471">J445</f>
        <v>4</v>
      </c>
      <c r="K446">
        <v>13</v>
      </c>
      <c r="L446">
        <v>1</v>
      </c>
      <c r="M446">
        <v>18</v>
      </c>
      <c r="N446">
        <v>18</v>
      </c>
      <c r="O446">
        <v>2</v>
      </c>
      <c r="P446">
        <v>4</v>
      </c>
      <c r="Q446">
        <v>32</v>
      </c>
      <c r="R446">
        <v>13</v>
      </c>
      <c r="S446">
        <v>0</v>
      </c>
      <c r="T446">
        <v>0</v>
      </c>
      <c r="U446">
        <f t="shared" ref="U446" si="1472">U445</f>
        <v>5</v>
      </c>
      <c r="V446">
        <v>10</v>
      </c>
      <c r="W446">
        <f t="shared" ref="W446" si="1473">W445</f>
        <v>1</v>
      </c>
      <c r="X446">
        <v>16</v>
      </c>
      <c r="Y446">
        <f t="shared" ref="Y446" si="1474">Y445</f>
        <v>0</v>
      </c>
      <c r="Z446">
        <v>10</v>
      </c>
      <c r="AA446">
        <v>25</v>
      </c>
      <c r="AB446">
        <v>12</v>
      </c>
      <c r="AC446">
        <v>86</v>
      </c>
      <c r="AD446">
        <v>0</v>
      </c>
      <c r="AE446">
        <v>19</v>
      </c>
      <c r="AF446">
        <v>66</v>
      </c>
      <c r="AG446">
        <v>52</v>
      </c>
      <c r="AH446">
        <v>0</v>
      </c>
      <c r="AI446">
        <v>41</v>
      </c>
      <c r="AJ446">
        <v>0</v>
      </c>
      <c r="AK446">
        <v>0</v>
      </c>
      <c r="AL446">
        <v>-1</v>
      </c>
      <c r="AM446">
        <v>-1</v>
      </c>
      <c r="AN446">
        <v>1</v>
      </c>
      <c r="AO446">
        <v>1</v>
      </c>
      <c r="AP446">
        <v>0</v>
      </c>
      <c r="AQ446">
        <v>0</v>
      </c>
      <c r="AR446">
        <f t="shared" si="1248"/>
        <v>2</v>
      </c>
      <c r="AS446">
        <f>IF(AND(IFERROR(VLOOKUP(AJ446,Equip!$A:$N,13,FALSE),0)&gt;=5,IFERROR(VLOOKUP(AJ446,Equip!$A:$N,13,FALSE),0)&lt;=9),INT(VLOOKUP(AJ446,Equip!$A:$N,6,FALSE)*SQRT(AN446)),0)</f>
        <v>0</v>
      </c>
      <c r="AT446">
        <f>IF(AND(IFERROR(VLOOKUP(AK446,Equip!$A:$N,13,FALSE),0)&gt;=5,IFERROR(VLOOKUP(AK446,Equip!$A:$N,13,FALSE),0)&lt;=9),INT(VLOOKUP(AK446,Equip!$A:$N,6,FALSE)*SQRT(AO446)),0)</f>
        <v>0</v>
      </c>
      <c r="AU446">
        <f>IF(AND(IFERROR(VLOOKUP(AL446,Equip!$A:$N,13,FALSE),0)&gt;=5,IFERROR(VLOOKUP(AL446,Equip!$A:$N,13,FALSE),0)&lt;=9),INT(VLOOKUP(AL446,Equip!$A:$N,6,FALSE)*SQRT(AP446)),0)</f>
        <v>0</v>
      </c>
      <c r="AV446">
        <f>IF(AND(IFERROR(VLOOKUP(AM446,Equip!$A:$N,13,FALSE),0)&gt;=5,IFERROR(VLOOKUP(AM446,Equip!$A:$N,13,FALSE),0)&lt;=9),INT(VLOOKUP(AM446,Equip!$A:$N,6,FALSE)*SQRT(AQ446)),0)</f>
        <v>0</v>
      </c>
      <c r="AW446">
        <f t="shared" si="1249"/>
        <v>0</v>
      </c>
      <c r="AX446">
        <f t="shared" si="1250"/>
        <v>228</v>
      </c>
    </row>
    <row r="447" spans="1:50">
      <c r="A447">
        <v>285</v>
      </c>
      <c r="B447" t="s">
        <v>922</v>
      </c>
      <c r="C447" t="s">
        <v>922</v>
      </c>
      <c r="D447">
        <v>0</v>
      </c>
      <c r="E447">
        <v>1321</v>
      </c>
      <c r="F447">
        <v>761</v>
      </c>
      <c r="G447">
        <v>285</v>
      </c>
      <c r="H447">
        <v>1</v>
      </c>
      <c r="I447">
        <v>1</v>
      </c>
      <c r="J447">
        <v>7</v>
      </c>
      <c r="K447">
        <v>1</v>
      </c>
      <c r="L447">
        <v>1</v>
      </c>
      <c r="M447">
        <v>16</v>
      </c>
      <c r="N447">
        <v>16</v>
      </c>
      <c r="O447">
        <v>10</v>
      </c>
      <c r="P447">
        <v>6</v>
      </c>
      <c r="Q447">
        <v>24</v>
      </c>
      <c r="R447">
        <v>47</v>
      </c>
      <c r="S447">
        <v>9</v>
      </c>
      <c r="T447">
        <v>28</v>
      </c>
      <c r="U447">
        <v>10</v>
      </c>
      <c r="V447">
        <v>7</v>
      </c>
      <c r="W447">
        <v>1</v>
      </c>
      <c r="X447">
        <v>10</v>
      </c>
      <c r="Y447">
        <v>0</v>
      </c>
      <c r="Z447">
        <v>15</v>
      </c>
      <c r="AA447">
        <v>20</v>
      </c>
      <c r="AB447">
        <v>31</v>
      </c>
      <c r="AC447">
        <v>69</v>
      </c>
      <c r="AD447">
        <v>42</v>
      </c>
      <c r="AE447">
        <v>19</v>
      </c>
      <c r="AF447">
        <v>49</v>
      </c>
      <c r="AG447">
        <v>80</v>
      </c>
      <c r="AH447">
        <v>53</v>
      </c>
      <c r="AI447">
        <v>21</v>
      </c>
      <c r="AJ447">
        <v>2</v>
      </c>
      <c r="AK447">
        <v>39</v>
      </c>
      <c r="AL447">
        <v>-1</v>
      </c>
      <c r="AM447">
        <v>-1</v>
      </c>
      <c r="AN447">
        <v>0</v>
      </c>
      <c r="AO447">
        <v>0</v>
      </c>
      <c r="AP447">
        <v>0</v>
      </c>
      <c r="AQ447">
        <v>0</v>
      </c>
      <c r="AR447">
        <f t="shared" si="1248"/>
        <v>0</v>
      </c>
      <c r="AS447">
        <f>IF(AND(IFERROR(VLOOKUP(AJ447,Equip!$A:$N,13,FALSE),0)&gt;=5,IFERROR(VLOOKUP(AJ447,Equip!$A:$N,13,FALSE),0)&lt;=9),INT(VLOOKUP(AJ447,Equip!$A:$N,6,FALSE)*SQRT(AN447)),0)</f>
        <v>0</v>
      </c>
      <c r="AT447">
        <f>IF(AND(IFERROR(VLOOKUP(AK447,Equip!$A:$N,13,FALSE),0)&gt;=5,IFERROR(VLOOKUP(AK447,Equip!$A:$N,13,FALSE),0)&lt;=9),INT(VLOOKUP(AK447,Equip!$A:$N,6,FALSE)*SQRT(AO447)),0)</f>
        <v>0</v>
      </c>
      <c r="AU447">
        <f>IF(AND(IFERROR(VLOOKUP(AL447,Equip!$A:$N,13,FALSE),0)&gt;=5,IFERROR(VLOOKUP(AL447,Equip!$A:$N,13,FALSE),0)&lt;=9),INT(VLOOKUP(AL447,Equip!$A:$N,6,FALSE)*SQRT(AP447)),0)</f>
        <v>0</v>
      </c>
      <c r="AV447">
        <f>IF(AND(IFERROR(VLOOKUP(AM447,Equip!$A:$N,13,FALSE),0)&gt;=5,IFERROR(VLOOKUP(AM447,Equip!$A:$N,13,FALSE),0)&lt;=9),INT(VLOOKUP(AM447,Equip!$A:$N,6,FALSE)*SQRT(AQ447)),0)</f>
        <v>0</v>
      </c>
      <c r="AW447">
        <f t="shared" si="1249"/>
        <v>0</v>
      </c>
      <c r="AX447">
        <f t="shared" si="1250"/>
        <v>331</v>
      </c>
    </row>
    <row r="448" spans="1:50">
      <c r="A448">
        <v>285</v>
      </c>
      <c r="B448" t="s">
        <v>922</v>
      </c>
      <c r="C448" t="s">
        <v>922</v>
      </c>
      <c r="D448">
        <v>1</v>
      </c>
      <c r="E448">
        <f>E447</f>
        <v>1321</v>
      </c>
      <c r="F448">
        <f t="shared" ref="F448" si="1475">F447</f>
        <v>761</v>
      </c>
      <c r="G448">
        <f t="shared" ref="G448" si="1476">G447</f>
        <v>285</v>
      </c>
      <c r="H448">
        <f t="shared" ref="H448" si="1477">H447</f>
        <v>1</v>
      </c>
      <c r="I448">
        <f t="shared" ref="I448" si="1478">I447</f>
        <v>1</v>
      </c>
      <c r="J448">
        <f t="shared" ref="J448" si="1479">J447</f>
        <v>7</v>
      </c>
      <c r="K448">
        <v>1</v>
      </c>
      <c r="L448">
        <v>1</v>
      </c>
      <c r="M448">
        <v>32</v>
      </c>
      <c r="N448">
        <v>32</v>
      </c>
      <c r="O448">
        <v>10</v>
      </c>
      <c r="P448">
        <v>6</v>
      </c>
      <c r="Q448">
        <v>24</v>
      </c>
      <c r="R448">
        <v>46</v>
      </c>
      <c r="S448">
        <v>12</v>
      </c>
      <c r="T448">
        <v>26</v>
      </c>
      <c r="U448">
        <f t="shared" ref="U448" si="1480">U447</f>
        <v>10</v>
      </c>
      <c r="V448">
        <v>9</v>
      </c>
      <c r="W448">
        <f t="shared" ref="W448" si="1481">W447</f>
        <v>1</v>
      </c>
      <c r="X448">
        <v>11</v>
      </c>
      <c r="Y448">
        <f t="shared" ref="Y448" si="1482">Y447</f>
        <v>0</v>
      </c>
      <c r="Z448">
        <v>15</v>
      </c>
      <c r="AA448">
        <v>20</v>
      </c>
      <c r="AB448">
        <v>52</v>
      </c>
      <c r="AC448">
        <v>79</v>
      </c>
      <c r="AD448">
        <v>58</v>
      </c>
      <c r="AE448">
        <v>49</v>
      </c>
      <c r="AF448">
        <v>57</v>
      </c>
      <c r="AG448">
        <v>89</v>
      </c>
      <c r="AH448">
        <v>66</v>
      </c>
      <c r="AI448">
        <v>56</v>
      </c>
      <c r="AJ448">
        <v>28</v>
      </c>
      <c r="AK448">
        <v>27</v>
      </c>
      <c r="AL448">
        <v>39</v>
      </c>
      <c r="AM448">
        <v>-1</v>
      </c>
      <c r="AN448">
        <v>0</v>
      </c>
      <c r="AO448">
        <v>0</v>
      </c>
      <c r="AP448">
        <v>0</v>
      </c>
      <c r="AQ448">
        <v>0</v>
      </c>
      <c r="AR448">
        <f t="shared" si="1248"/>
        <v>0</v>
      </c>
      <c r="AS448">
        <f>IF(AND(IFERROR(VLOOKUP(AJ448,Equip!$A:$N,13,FALSE),0)&gt;=5,IFERROR(VLOOKUP(AJ448,Equip!$A:$N,13,FALSE),0)&lt;=9),INT(VLOOKUP(AJ448,Equip!$A:$N,6,FALSE)*SQRT(AN448)),0)</f>
        <v>0</v>
      </c>
      <c r="AT448">
        <f>IF(AND(IFERROR(VLOOKUP(AK448,Equip!$A:$N,13,FALSE),0)&gt;=5,IFERROR(VLOOKUP(AK448,Equip!$A:$N,13,FALSE),0)&lt;=9),INT(VLOOKUP(AK448,Equip!$A:$N,6,FALSE)*SQRT(AO448)),0)</f>
        <v>0</v>
      </c>
      <c r="AU448">
        <f>IF(AND(IFERROR(VLOOKUP(AL448,Equip!$A:$N,13,FALSE),0)&gt;=5,IFERROR(VLOOKUP(AL448,Equip!$A:$N,13,FALSE),0)&lt;=9),INT(VLOOKUP(AL448,Equip!$A:$N,6,FALSE)*SQRT(AP448)),0)</f>
        <v>0</v>
      </c>
      <c r="AV448">
        <f>IF(AND(IFERROR(VLOOKUP(AM448,Equip!$A:$N,13,FALSE),0)&gt;=5,IFERROR(VLOOKUP(AM448,Equip!$A:$N,13,FALSE),0)&lt;=9),INT(VLOOKUP(AM448,Equip!$A:$N,6,FALSE)*SQRT(AQ448)),0)</f>
        <v>0</v>
      </c>
      <c r="AW448">
        <f t="shared" si="1249"/>
        <v>0</v>
      </c>
      <c r="AX448">
        <f t="shared" si="1250"/>
        <v>481</v>
      </c>
    </row>
    <row r="449" spans="1:51">
      <c r="A449">
        <v>286</v>
      </c>
      <c r="B449" t="s">
        <v>923</v>
      </c>
      <c r="C449" t="s">
        <v>923</v>
      </c>
      <c r="D449">
        <v>0</v>
      </c>
      <c r="E449">
        <v>1291</v>
      </c>
      <c r="F449">
        <v>747</v>
      </c>
      <c r="G449">
        <v>286</v>
      </c>
      <c r="H449">
        <v>1</v>
      </c>
      <c r="I449">
        <v>1</v>
      </c>
      <c r="J449">
        <v>0</v>
      </c>
      <c r="K449">
        <v>1</v>
      </c>
      <c r="L449">
        <v>1</v>
      </c>
      <c r="M449">
        <v>15</v>
      </c>
      <c r="N449">
        <v>15</v>
      </c>
      <c r="O449">
        <v>10</v>
      </c>
      <c r="P449">
        <v>5</v>
      </c>
      <c r="Q449">
        <v>27</v>
      </c>
      <c r="R449">
        <v>42</v>
      </c>
      <c r="S449">
        <v>10</v>
      </c>
      <c r="T449">
        <v>20</v>
      </c>
      <c r="U449">
        <v>10</v>
      </c>
      <c r="V449">
        <v>5</v>
      </c>
      <c r="W449">
        <v>1</v>
      </c>
      <c r="X449">
        <v>14</v>
      </c>
      <c r="Y449">
        <v>0</v>
      </c>
      <c r="Z449">
        <v>15</v>
      </c>
      <c r="AA449">
        <v>20</v>
      </c>
      <c r="AB449">
        <v>29</v>
      </c>
      <c r="AC449">
        <v>69</v>
      </c>
      <c r="AD449">
        <v>39</v>
      </c>
      <c r="AE449">
        <v>19</v>
      </c>
      <c r="AF449">
        <v>54</v>
      </c>
      <c r="AG449">
        <v>84</v>
      </c>
      <c r="AH449">
        <v>49</v>
      </c>
      <c r="AI449">
        <v>19</v>
      </c>
      <c r="AJ449">
        <v>2</v>
      </c>
      <c r="AK449">
        <v>13</v>
      </c>
      <c r="AL449">
        <v>-1</v>
      </c>
      <c r="AM449">
        <v>-1</v>
      </c>
      <c r="AN449">
        <v>0</v>
      </c>
      <c r="AO449">
        <v>0</v>
      </c>
      <c r="AP449">
        <v>0</v>
      </c>
      <c r="AQ449">
        <v>0</v>
      </c>
      <c r="AR449">
        <f t="shared" si="1248"/>
        <v>0</v>
      </c>
      <c r="AS449">
        <f>IF(AND(IFERROR(VLOOKUP(AJ449,Equip!$A:$N,13,FALSE),0)&gt;=5,IFERROR(VLOOKUP(AJ449,Equip!$A:$N,13,FALSE),0)&lt;=9),INT(VLOOKUP(AJ449,Equip!$A:$N,6,FALSE)*SQRT(AN449)),0)</f>
        <v>0</v>
      </c>
      <c r="AT449">
        <f>IF(AND(IFERROR(VLOOKUP(AK449,Equip!$A:$N,13,FALSE),0)&gt;=5,IFERROR(VLOOKUP(AK449,Equip!$A:$N,13,FALSE),0)&lt;=9),INT(VLOOKUP(AK449,Equip!$A:$N,6,FALSE)*SQRT(AO449)),0)</f>
        <v>0</v>
      </c>
      <c r="AU449">
        <f>IF(AND(IFERROR(VLOOKUP(AL449,Equip!$A:$N,13,FALSE),0)&gt;=5,IFERROR(VLOOKUP(AL449,Equip!$A:$N,13,FALSE),0)&lt;=9),INT(VLOOKUP(AL449,Equip!$A:$N,6,FALSE)*SQRT(AP449)),0)</f>
        <v>0</v>
      </c>
      <c r="AV449">
        <f>IF(AND(IFERROR(VLOOKUP(AM449,Equip!$A:$N,13,FALSE),0)&gt;=5,IFERROR(VLOOKUP(AM449,Equip!$A:$N,13,FALSE),0)&lt;=9),INT(VLOOKUP(AM449,Equip!$A:$N,6,FALSE)*SQRT(AQ449)),0)</f>
        <v>0</v>
      </c>
      <c r="AW449">
        <f t="shared" si="1249"/>
        <v>0</v>
      </c>
      <c r="AX449">
        <f t="shared" si="1250"/>
        <v>323</v>
      </c>
    </row>
    <row r="450" spans="1:51">
      <c r="A450">
        <v>286</v>
      </c>
      <c r="B450" t="s">
        <v>923</v>
      </c>
      <c r="C450" t="s">
        <v>923</v>
      </c>
      <c r="D450">
        <v>1</v>
      </c>
      <c r="E450">
        <f>E449</f>
        <v>1291</v>
      </c>
      <c r="F450">
        <f t="shared" ref="F450" si="1483">F449</f>
        <v>747</v>
      </c>
      <c r="G450">
        <f t="shared" ref="G450" si="1484">G449</f>
        <v>286</v>
      </c>
      <c r="H450">
        <f t="shared" ref="H450" si="1485">H449</f>
        <v>1</v>
      </c>
      <c r="I450">
        <f t="shared" ref="I450" si="1486">I449</f>
        <v>1</v>
      </c>
      <c r="J450">
        <f t="shared" ref="J450" si="1487">J449</f>
        <v>0</v>
      </c>
      <c r="K450">
        <v>1</v>
      </c>
      <c r="L450">
        <v>1</v>
      </c>
      <c r="M450">
        <v>30</v>
      </c>
      <c r="N450">
        <v>30</v>
      </c>
      <c r="O450">
        <v>12</v>
      </c>
      <c r="P450">
        <v>13</v>
      </c>
      <c r="Q450">
        <v>28</v>
      </c>
      <c r="R450">
        <v>42</v>
      </c>
      <c r="S450">
        <v>16</v>
      </c>
      <c r="T450">
        <v>20</v>
      </c>
      <c r="U450">
        <f t="shared" ref="U450" si="1488">U449</f>
        <v>10</v>
      </c>
      <c r="V450">
        <v>5</v>
      </c>
      <c r="W450">
        <f t="shared" ref="W450" si="1489">W449</f>
        <v>1</v>
      </c>
      <c r="X450">
        <v>17</v>
      </c>
      <c r="Y450">
        <f t="shared" ref="Y450" si="1490">Y449</f>
        <v>0</v>
      </c>
      <c r="Z450">
        <v>15</v>
      </c>
      <c r="AA450">
        <v>20</v>
      </c>
      <c r="AB450">
        <v>49</v>
      </c>
      <c r="AC450">
        <v>79</v>
      </c>
      <c r="AD450">
        <v>54</v>
      </c>
      <c r="AE450">
        <v>49</v>
      </c>
      <c r="AF450">
        <v>67</v>
      </c>
      <c r="AG450">
        <v>93</v>
      </c>
      <c r="AH450">
        <v>59</v>
      </c>
      <c r="AI450">
        <v>43</v>
      </c>
      <c r="AJ450">
        <v>91</v>
      </c>
      <c r="AK450">
        <v>39</v>
      </c>
      <c r="AL450">
        <v>0</v>
      </c>
      <c r="AM450">
        <v>-1</v>
      </c>
      <c r="AN450">
        <v>0</v>
      </c>
      <c r="AO450">
        <v>0</v>
      </c>
      <c r="AP450">
        <v>0</v>
      </c>
      <c r="AQ450">
        <v>0</v>
      </c>
      <c r="AR450">
        <f t="shared" si="1248"/>
        <v>0</v>
      </c>
      <c r="AS450">
        <f>IF(AND(IFERROR(VLOOKUP(AJ450,Equip!$A:$N,13,FALSE),0)&gt;=5,IFERROR(VLOOKUP(AJ450,Equip!$A:$N,13,FALSE),0)&lt;=9),INT(VLOOKUP(AJ450,Equip!$A:$N,6,FALSE)*SQRT(AN450)),0)</f>
        <v>0</v>
      </c>
      <c r="AT450">
        <f>IF(AND(IFERROR(VLOOKUP(AK450,Equip!$A:$N,13,FALSE),0)&gt;=5,IFERROR(VLOOKUP(AK450,Equip!$A:$N,13,FALSE),0)&lt;=9),INT(VLOOKUP(AK450,Equip!$A:$N,6,FALSE)*SQRT(AO450)),0)</f>
        <v>0</v>
      </c>
      <c r="AU450">
        <f>IF(AND(IFERROR(VLOOKUP(AL450,Equip!$A:$N,13,FALSE),0)&gt;=5,IFERROR(VLOOKUP(AL450,Equip!$A:$N,13,FALSE),0)&lt;=9),INT(VLOOKUP(AL450,Equip!$A:$N,6,FALSE)*SQRT(AP450)),0)</f>
        <v>0</v>
      </c>
      <c r="AV450">
        <f>IF(AND(IFERROR(VLOOKUP(AM450,Equip!$A:$N,13,FALSE),0)&gt;=5,IFERROR(VLOOKUP(AM450,Equip!$A:$N,13,FALSE),0)&lt;=9),INT(VLOOKUP(AM450,Equip!$A:$N,6,FALSE)*SQRT(AQ450)),0)</f>
        <v>0</v>
      </c>
      <c r="AW450">
        <f t="shared" si="1249"/>
        <v>0</v>
      </c>
      <c r="AX450">
        <f t="shared" si="1250"/>
        <v>456</v>
      </c>
    </row>
    <row r="451" spans="1:51">
      <c r="A451">
        <v>291</v>
      </c>
      <c r="B451" t="s">
        <v>1218</v>
      </c>
      <c r="C451" t="s">
        <v>924</v>
      </c>
      <c r="D451">
        <v>0</v>
      </c>
      <c r="E451">
        <v>1999</v>
      </c>
      <c r="F451">
        <v>1099</v>
      </c>
      <c r="G451">
        <v>291</v>
      </c>
      <c r="H451">
        <v>2</v>
      </c>
      <c r="I451">
        <v>8</v>
      </c>
      <c r="J451">
        <v>6</v>
      </c>
      <c r="K451">
        <v>10</v>
      </c>
      <c r="L451">
        <v>4</v>
      </c>
      <c r="M451">
        <v>42</v>
      </c>
      <c r="N451">
        <v>42</v>
      </c>
      <c r="O451">
        <v>28</v>
      </c>
      <c r="P451">
        <v>24</v>
      </c>
      <c r="Q451">
        <v>0</v>
      </c>
      <c r="R451">
        <v>20</v>
      </c>
      <c r="S451">
        <v>18</v>
      </c>
      <c r="T451">
        <v>0</v>
      </c>
      <c r="U451">
        <v>5</v>
      </c>
      <c r="V451">
        <v>32</v>
      </c>
      <c r="W451">
        <v>1</v>
      </c>
      <c r="X451">
        <v>17</v>
      </c>
      <c r="Y451">
        <v>0</v>
      </c>
      <c r="Z451">
        <v>35</v>
      </c>
      <c r="AA451">
        <v>40</v>
      </c>
      <c r="AB451">
        <v>48</v>
      </c>
      <c r="AC451">
        <v>0</v>
      </c>
      <c r="AD451">
        <v>40</v>
      </c>
      <c r="AE451">
        <v>50</v>
      </c>
      <c r="AF451">
        <v>79</v>
      </c>
      <c r="AG451">
        <v>43</v>
      </c>
      <c r="AH451">
        <v>0</v>
      </c>
      <c r="AI451">
        <v>70</v>
      </c>
      <c r="AJ451">
        <v>194</v>
      </c>
      <c r="AK451">
        <v>0</v>
      </c>
      <c r="AL451">
        <v>0</v>
      </c>
      <c r="AM451">
        <v>-1</v>
      </c>
      <c r="AN451">
        <v>12</v>
      </c>
      <c r="AO451">
        <v>12</v>
      </c>
      <c r="AP451">
        <v>0</v>
      </c>
      <c r="AQ451">
        <v>0</v>
      </c>
      <c r="AR451">
        <f t="shared" si="1248"/>
        <v>24</v>
      </c>
      <c r="AS451">
        <f>IF(AND(IFERROR(VLOOKUP(AJ451,Equip!$A:$N,13,FALSE),0)&gt;=5,IFERROR(VLOOKUP(AJ451,Equip!$A:$N,13,FALSE),0)&lt;=9),INT(VLOOKUP(AJ451,Equip!$A:$N,6,FALSE)*SQRT(AN451)),0)</f>
        <v>0</v>
      </c>
      <c r="AT451">
        <f>IF(AND(IFERROR(VLOOKUP(AK451,Equip!$A:$N,13,FALSE),0)&gt;=5,IFERROR(VLOOKUP(AK451,Equip!$A:$N,13,FALSE),0)&lt;=9),INT(VLOOKUP(AK451,Equip!$A:$N,6,FALSE)*SQRT(AO451)),0)</f>
        <v>0</v>
      </c>
      <c r="AU451">
        <f>IF(AND(IFERROR(VLOOKUP(AL451,Equip!$A:$N,13,FALSE),0)&gt;=5,IFERROR(VLOOKUP(AL451,Equip!$A:$N,13,FALSE),0)&lt;=9),INT(VLOOKUP(AL451,Equip!$A:$N,6,FALSE)*SQRT(AP451)),0)</f>
        <v>0</v>
      </c>
      <c r="AV451">
        <f>IF(AND(IFERROR(VLOOKUP(AM451,Equip!$A:$N,13,FALSE),0)&gt;=5,IFERROR(VLOOKUP(AM451,Equip!$A:$N,13,FALSE),0)&lt;=9),INT(VLOOKUP(AM451,Equip!$A:$N,6,FALSE)*SQRT(AQ451)),0)</f>
        <v>0</v>
      </c>
      <c r="AW451">
        <f t="shared" si="1249"/>
        <v>0</v>
      </c>
      <c r="AX451">
        <f t="shared" si="1250"/>
        <v>293</v>
      </c>
    </row>
    <row r="452" spans="1:51">
      <c r="A452">
        <v>291</v>
      </c>
      <c r="B452" t="s">
        <v>1218</v>
      </c>
      <c r="C452" t="s">
        <v>924</v>
      </c>
      <c r="D452">
        <v>1</v>
      </c>
      <c r="E452">
        <f>E451</f>
        <v>1999</v>
      </c>
      <c r="F452">
        <f t="shared" ref="F452" si="1491">F451</f>
        <v>1099</v>
      </c>
      <c r="G452">
        <f t="shared" ref="G452" si="1492">G451</f>
        <v>291</v>
      </c>
      <c r="H452">
        <f t="shared" ref="H452" si="1493">H451</f>
        <v>2</v>
      </c>
      <c r="I452">
        <f t="shared" ref="I452" si="1494">I451</f>
        <v>8</v>
      </c>
      <c r="J452">
        <f t="shared" ref="J452" si="1495">J451</f>
        <v>6</v>
      </c>
      <c r="K452">
        <v>10</v>
      </c>
      <c r="L452">
        <v>4</v>
      </c>
      <c r="M452">
        <v>43</v>
      </c>
      <c r="N452">
        <v>43</v>
      </c>
      <c r="O452">
        <v>33</v>
      </c>
      <c r="P452">
        <v>29</v>
      </c>
      <c r="Q452">
        <v>0</v>
      </c>
      <c r="R452">
        <v>25</v>
      </c>
      <c r="S452">
        <v>22</v>
      </c>
      <c r="T452">
        <v>0</v>
      </c>
      <c r="U452">
        <f t="shared" ref="U452" si="1496">U451</f>
        <v>5</v>
      </c>
      <c r="V452">
        <v>36</v>
      </c>
      <c r="W452">
        <f t="shared" ref="W452" si="1497">W451</f>
        <v>1</v>
      </c>
      <c r="X452">
        <v>20</v>
      </c>
      <c r="Y452">
        <f t="shared" ref="Y452" si="1498">Y451</f>
        <v>0</v>
      </c>
      <c r="Z452">
        <v>40</v>
      </c>
      <c r="AA452">
        <v>50</v>
      </c>
      <c r="AB452">
        <v>58</v>
      </c>
      <c r="AC452">
        <v>0</v>
      </c>
      <c r="AD452">
        <v>48</v>
      </c>
      <c r="AE452">
        <v>56</v>
      </c>
      <c r="AF452">
        <v>88</v>
      </c>
      <c r="AG452">
        <v>44</v>
      </c>
      <c r="AH452">
        <v>0</v>
      </c>
      <c r="AI452">
        <v>88</v>
      </c>
      <c r="AJ452">
        <v>194</v>
      </c>
      <c r="AK452">
        <v>0</v>
      </c>
      <c r="AL452">
        <v>0</v>
      </c>
      <c r="AM452">
        <v>0</v>
      </c>
      <c r="AN452">
        <v>12</v>
      </c>
      <c r="AO452">
        <v>12</v>
      </c>
      <c r="AP452">
        <v>7</v>
      </c>
      <c r="AQ452">
        <v>7</v>
      </c>
      <c r="AR452">
        <f t="shared" ref="AR452:AR517" si="1499">SUM(AN452:AQ452)</f>
        <v>38</v>
      </c>
      <c r="AS452">
        <f>IF(AND(IFERROR(VLOOKUP(AJ452,Equip!$A:$N,13,FALSE),0)&gt;=5,IFERROR(VLOOKUP(AJ452,Equip!$A:$N,13,FALSE),0)&lt;=9),INT(VLOOKUP(AJ452,Equip!$A:$N,6,FALSE)*SQRT(AN452)),0)</f>
        <v>0</v>
      </c>
      <c r="AT452">
        <f>IF(AND(IFERROR(VLOOKUP(AK452,Equip!$A:$N,13,FALSE),0)&gt;=5,IFERROR(VLOOKUP(AK452,Equip!$A:$N,13,FALSE),0)&lt;=9),INT(VLOOKUP(AK452,Equip!$A:$N,6,FALSE)*SQRT(AO452)),0)</f>
        <v>0</v>
      </c>
      <c r="AU452">
        <f>IF(AND(IFERROR(VLOOKUP(AL452,Equip!$A:$N,13,FALSE),0)&gt;=5,IFERROR(VLOOKUP(AL452,Equip!$A:$N,13,FALSE),0)&lt;=9),INT(VLOOKUP(AL452,Equip!$A:$N,6,FALSE)*SQRT(AP452)),0)</f>
        <v>0</v>
      </c>
      <c r="AV452">
        <f>IF(AND(IFERROR(VLOOKUP(AM452,Equip!$A:$N,13,FALSE),0)&gt;=5,IFERROR(VLOOKUP(AM452,Equip!$A:$N,13,FALSE),0)&lt;=9),INT(VLOOKUP(AM452,Equip!$A:$N,6,FALSE)*SQRT(AQ452)),0)</f>
        <v>0</v>
      </c>
      <c r="AW452">
        <f t="shared" ref="AW452:AW515" si="1500">SUM(AS452:AV452)</f>
        <v>0</v>
      </c>
      <c r="AX452">
        <f t="shared" ref="AX452:AX515" si="1501">SUM(N452,AB452:AE452,AG452:AI452)</f>
        <v>337</v>
      </c>
    </row>
    <row r="453" spans="1:51">
      <c r="A453">
        <v>294</v>
      </c>
      <c r="B453" t="s">
        <v>925</v>
      </c>
      <c r="C453" t="s">
        <v>925</v>
      </c>
      <c r="D453">
        <v>0</v>
      </c>
      <c r="E453">
        <v>1244</v>
      </c>
      <c r="F453">
        <v>741</v>
      </c>
      <c r="G453">
        <v>294</v>
      </c>
      <c r="H453">
        <v>1</v>
      </c>
      <c r="I453">
        <v>1</v>
      </c>
      <c r="J453">
        <v>6</v>
      </c>
      <c r="K453">
        <v>13</v>
      </c>
      <c r="L453">
        <v>1</v>
      </c>
      <c r="M453">
        <v>18</v>
      </c>
      <c r="N453">
        <v>18</v>
      </c>
      <c r="O453">
        <v>2</v>
      </c>
      <c r="P453">
        <v>5</v>
      </c>
      <c r="Q453">
        <v>27</v>
      </c>
      <c r="R453">
        <v>11</v>
      </c>
      <c r="S453">
        <v>0</v>
      </c>
      <c r="T453">
        <v>0</v>
      </c>
      <c r="U453">
        <v>1</v>
      </c>
      <c r="V453">
        <v>13</v>
      </c>
      <c r="W453">
        <v>1</v>
      </c>
      <c r="X453">
        <v>6</v>
      </c>
      <c r="Y453">
        <v>0</v>
      </c>
      <c r="Z453">
        <v>15</v>
      </c>
      <c r="AA453">
        <v>15</v>
      </c>
      <c r="AB453">
        <v>9</v>
      </c>
      <c r="AC453">
        <v>66</v>
      </c>
      <c r="AD453">
        <v>0</v>
      </c>
      <c r="AE453">
        <v>22</v>
      </c>
      <c r="AF453">
        <v>39</v>
      </c>
      <c r="AG453">
        <v>36</v>
      </c>
      <c r="AH453">
        <v>0</v>
      </c>
      <c r="AI453">
        <v>43</v>
      </c>
      <c r="AJ453">
        <v>0</v>
      </c>
      <c r="AK453">
        <v>0</v>
      </c>
      <c r="AL453">
        <v>-1</v>
      </c>
      <c r="AM453">
        <v>-1</v>
      </c>
      <c r="AN453">
        <v>2</v>
      </c>
      <c r="AO453">
        <v>0</v>
      </c>
      <c r="AP453">
        <v>0</v>
      </c>
      <c r="AQ453">
        <v>0</v>
      </c>
      <c r="AR453">
        <f t="shared" si="1499"/>
        <v>2</v>
      </c>
      <c r="AS453">
        <f>IF(AND(IFERROR(VLOOKUP(AJ453,Equip!$A:$N,13,FALSE),0)&gt;=5,IFERROR(VLOOKUP(AJ453,Equip!$A:$N,13,FALSE),0)&lt;=9),INT(VLOOKUP(AJ453,Equip!$A:$N,6,FALSE)*SQRT(AN453)),0)</f>
        <v>0</v>
      </c>
      <c r="AT453">
        <f>IF(AND(IFERROR(VLOOKUP(AK453,Equip!$A:$N,13,FALSE),0)&gt;=5,IFERROR(VLOOKUP(AK453,Equip!$A:$N,13,FALSE),0)&lt;=9),INT(VLOOKUP(AK453,Equip!$A:$N,6,FALSE)*SQRT(AO453)),0)</f>
        <v>0</v>
      </c>
      <c r="AU453">
        <f>IF(AND(IFERROR(VLOOKUP(AL453,Equip!$A:$N,13,FALSE),0)&gt;=5,IFERROR(VLOOKUP(AL453,Equip!$A:$N,13,FALSE),0)&lt;=9),INT(VLOOKUP(AL453,Equip!$A:$N,6,FALSE)*SQRT(AP453)),0)</f>
        <v>0</v>
      </c>
      <c r="AV453">
        <f>IF(AND(IFERROR(VLOOKUP(AM453,Equip!$A:$N,13,FALSE),0)&gt;=5,IFERROR(VLOOKUP(AM453,Equip!$A:$N,13,FALSE),0)&lt;=9),INT(VLOOKUP(AM453,Equip!$A:$N,6,FALSE)*SQRT(AQ453)),0)</f>
        <v>0</v>
      </c>
      <c r="AW453">
        <f t="shared" si="1500"/>
        <v>0</v>
      </c>
      <c r="AX453">
        <f t="shared" si="1501"/>
        <v>194</v>
      </c>
    </row>
    <row r="454" spans="1:51">
      <c r="A454">
        <v>294</v>
      </c>
      <c r="B454" t="s">
        <v>925</v>
      </c>
      <c r="C454" t="s">
        <v>925</v>
      </c>
      <c r="D454">
        <v>1</v>
      </c>
      <c r="E454">
        <f>E453</f>
        <v>1244</v>
      </c>
      <c r="F454">
        <f t="shared" ref="F454" si="1502">F453</f>
        <v>741</v>
      </c>
      <c r="G454">
        <f t="shared" ref="G454" si="1503">G453</f>
        <v>294</v>
      </c>
      <c r="H454">
        <f t="shared" ref="H454" si="1504">H453</f>
        <v>1</v>
      </c>
      <c r="I454">
        <f t="shared" ref="I454" si="1505">I453</f>
        <v>1</v>
      </c>
      <c r="J454">
        <f t="shared" ref="J454" si="1506">J453</f>
        <v>6</v>
      </c>
      <c r="K454">
        <v>13</v>
      </c>
      <c r="L454">
        <v>1</v>
      </c>
      <c r="M454">
        <v>21</v>
      </c>
      <c r="N454">
        <v>21</v>
      </c>
      <c r="O454">
        <v>8</v>
      </c>
      <c r="P454">
        <v>12</v>
      </c>
      <c r="Q454">
        <v>40</v>
      </c>
      <c r="R454">
        <v>12</v>
      </c>
      <c r="S454">
        <v>0</v>
      </c>
      <c r="T454">
        <v>0</v>
      </c>
      <c r="U454">
        <f t="shared" ref="U454" si="1507">U453</f>
        <v>1</v>
      </c>
      <c r="V454">
        <v>13</v>
      </c>
      <c r="W454">
        <f t="shared" ref="W454" si="1508">W453</f>
        <v>1</v>
      </c>
      <c r="X454">
        <v>8</v>
      </c>
      <c r="Y454">
        <f t="shared" ref="Y454" si="1509">Y453</f>
        <v>0</v>
      </c>
      <c r="Z454">
        <v>25</v>
      </c>
      <c r="AA454">
        <v>25</v>
      </c>
      <c r="AB454">
        <v>16</v>
      </c>
      <c r="AC454">
        <v>72</v>
      </c>
      <c r="AD454">
        <v>0</v>
      </c>
      <c r="AE454">
        <v>22</v>
      </c>
      <c r="AF454">
        <v>48</v>
      </c>
      <c r="AG454">
        <v>47</v>
      </c>
      <c r="AH454">
        <v>0</v>
      </c>
      <c r="AI454">
        <v>43</v>
      </c>
      <c r="AJ454">
        <v>211</v>
      </c>
      <c r="AK454">
        <v>0</v>
      </c>
      <c r="AL454">
        <v>0</v>
      </c>
      <c r="AM454">
        <v>-1</v>
      </c>
      <c r="AN454">
        <v>2</v>
      </c>
      <c r="AO454">
        <v>1</v>
      </c>
      <c r="AP454">
        <v>0</v>
      </c>
      <c r="AQ454">
        <v>0</v>
      </c>
      <c r="AR454">
        <f t="shared" si="1499"/>
        <v>3</v>
      </c>
      <c r="AS454">
        <f>IF(AND(IFERROR(VLOOKUP(AJ454,Equip!$A:$N,13,FALSE),0)&gt;=5,IFERROR(VLOOKUP(AJ454,Equip!$A:$N,13,FALSE),0)&lt;=9),INT(VLOOKUP(AJ454,Equip!$A:$N,6,FALSE)*SQRT(AN454)),0)</f>
        <v>0</v>
      </c>
      <c r="AT454">
        <f>IF(AND(IFERROR(VLOOKUP(AK454,Equip!$A:$N,13,FALSE),0)&gt;=5,IFERROR(VLOOKUP(AK454,Equip!$A:$N,13,FALSE),0)&lt;=9),INT(VLOOKUP(AK454,Equip!$A:$N,6,FALSE)*SQRT(AO454)),0)</f>
        <v>0</v>
      </c>
      <c r="AU454">
        <f>IF(AND(IFERROR(VLOOKUP(AL454,Equip!$A:$N,13,FALSE),0)&gt;=5,IFERROR(VLOOKUP(AL454,Equip!$A:$N,13,FALSE),0)&lt;=9),INT(VLOOKUP(AL454,Equip!$A:$N,6,FALSE)*SQRT(AP454)),0)</f>
        <v>0</v>
      </c>
      <c r="AV454">
        <f>IF(AND(IFERROR(VLOOKUP(AM454,Equip!$A:$N,13,FALSE),0)&gt;=5,IFERROR(VLOOKUP(AM454,Equip!$A:$N,13,FALSE),0)&lt;=9),INT(VLOOKUP(AM454,Equip!$A:$N,6,FALSE)*SQRT(AQ454)),0)</f>
        <v>0</v>
      </c>
      <c r="AW454">
        <f t="shared" si="1500"/>
        <v>0</v>
      </c>
      <c r="AX454">
        <f t="shared" si="1501"/>
        <v>221</v>
      </c>
    </row>
    <row r="455" spans="1:51">
      <c r="A455">
        <v>295</v>
      </c>
      <c r="B455" t="s">
        <v>926</v>
      </c>
      <c r="C455" t="s">
        <v>926</v>
      </c>
      <c r="D455">
        <v>0</v>
      </c>
      <c r="E455">
        <v>1244</v>
      </c>
      <c r="F455">
        <v>741</v>
      </c>
      <c r="G455">
        <v>295</v>
      </c>
      <c r="H455">
        <v>1</v>
      </c>
      <c r="I455">
        <v>1</v>
      </c>
      <c r="J455">
        <v>3</v>
      </c>
      <c r="K455">
        <v>13</v>
      </c>
      <c r="L455">
        <v>1</v>
      </c>
      <c r="M455">
        <v>18</v>
      </c>
      <c r="N455">
        <v>18</v>
      </c>
      <c r="O455">
        <v>2</v>
      </c>
      <c r="P455">
        <v>5</v>
      </c>
      <c r="Q455">
        <v>27</v>
      </c>
      <c r="R455">
        <v>14</v>
      </c>
      <c r="S455">
        <v>0</v>
      </c>
      <c r="T455">
        <v>0</v>
      </c>
      <c r="U455">
        <v>1</v>
      </c>
      <c r="V455">
        <v>14</v>
      </c>
      <c r="W455">
        <v>1</v>
      </c>
      <c r="X455">
        <v>24</v>
      </c>
      <c r="Y455">
        <v>0</v>
      </c>
      <c r="Z455">
        <v>15</v>
      </c>
      <c r="AA455">
        <v>15</v>
      </c>
      <c r="AB455">
        <v>9</v>
      </c>
      <c r="AC455">
        <v>66</v>
      </c>
      <c r="AD455">
        <v>0</v>
      </c>
      <c r="AE455">
        <v>22</v>
      </c>
      <c r="AF455">
        <v>64</v>
      </c>
      <c r="AG455">
        <v>39</v>
      </c>
      <c r="AH455">
        <v>0</v>
      </c>
      <c r="AI455">
        <v>46</v>
      </c>
      <c r="AJ455">
        <v>0</v>
      </c>
      <c r="AK455">
        <v>0</v>
      </c>
      <c r="AL455">
        <v>-1</v>
      </c>
      <c r="AM455">
        <v>-1</v>
      </c>
      <c r="AN455">
        <v>2</v>
      </c>
      <c r="AO455">
        <v>0</v>
      </c>
      <c r="AP455">
        <v>0</v>
      </c>
      <c r="AQ455">
        <v>0</v>
      </c>
      <c r="AR455">
        <f t="shared" si="1499"/>
        <v>2</v>
      </c>
      <c r="AS455">
        <f>IF(AND(IFERROR(VLOOKUP(AJ455,Equip!$A:$N,13,FALSE),0)&gt;=5,IFERROR(VLOOKUP(AJ455,Equip!$A:$N,13,FALSE),0)&lt;=9),INT(VLOOKUP(AJ455,Equip!$A:$N,6,FALSE)*SQRT(AN455)),0)</f>
        <v>0</v>
      </c>
      <c r="AT455">
        <f>IF(AND(IFERROR(VLOOKUP(AK455,Equip!$A:$N,13,FALSE),0)&gt;=5,IFERROR(VLOOKUP(AK455,Equip!$A:$N,13,FALSE),0)&lt;=9),INT(VLOOKUP(AK455,Equip!$A:$N,6,FALSE)*SQRT(AO455)),0)</f>
        <v>0</v>
      </c>
      <c r="AU455">
        <f>IF(AND(IFERROR(VLOOKUP(AL455,Equip!$A:$N,13,FALSE),0)&gt;=5,IFERROR(VLOOKUP(AL455,Equip!$A:$N,13,FALSE),0)&lt;=9),INT(VLOOKUP(AL455,Equip!$A:$N,6,FALSE)*SQRT(AP455)),0)</f>
        <v>0</v>
      </c>
      <c r="AV455">
        <f>IF(AND(IFERROR(VLOOKUP(AM455,Equip!$A:$N,13,FALSE),0)&gt;=5,IFERROR(VLOOKUP(AM455,Equip!$A:$N,13,FALSE),0)&lt;=9),INT(VLOOKUP(AM455,Equip!$A:$N,6,FALSE)*SQRT(AQ455)),0)</f>
        <v>0</v>
      </c>
      <c r="AW455">
        <f t="shared" si="1500"/>
        <v>0</v>
      </c>
      <c r="AX455">
        <f t="shared" si="1501"/>
        <v>200</v>
      </c>
    </row>
    <row r="456" spans="1:51">
      <c r="A456">
        <v>295</v>
      </c>
      <c r="B456" t="s">
        <v>926</v>
      </c>
      <c r="C456" t="s">
        <v>926</v>
      </c>
      <c r="D456">
        <v>1</v>
      </c>
      <c r="E456">
        <f>E455</f>
        <v>1244</v>
      </c>
      <c r="F456">
        <f t="shared" ref="F456" si="1510">F455</f>
        <v>741</v>
      </c>
      <c r="G456">
        <f t="shared" ref="G456" si="1511">G455</f>
        <v>295</v>
      </c>
      <c r="H456">
        <f t="shared" ref="H456" si="1512">H455</f>
        <v>1</v>
      </c>
      <c r="I456">
        <f t="shared" ref="I456" si="1513">I455</f>
        <v>1</v>
      </c>
      <c r="J456">
        <f t="shared" ref="J456" si="1514">J455</f>
        <v>3</v>
      </c>
      <c r="K456">
        <v>13</v>
      </c>
      <c r="L456">
        <v>1</v>
      </c>
      <c r="M456">
        <v>21</v>
      </c>
      <c r="N456">
        <v>21</v>
      </c>
      <c r="O456">
        <v>6</v>
      </c>
      <c r="P456">
        <v>10</v>
      </c>
      <c r="Q456">
        <v>46</v>
      </c>
      <c r="R456">
        <v>15</v>
      </c>
      <c r="S456">
        <v>0</v>
      </c>
      <c r="T456">
        <v>0</v>
      </c>
      <c r="U456">
        <f t="shared" ref="U456" si="1515">U455</f>
        <v>1</v>
      </c>
      <c r="V456">
        <v>14</v>
      </c>
      <c r="W456">
        <f t="shared" ref="W456" si="1516">W455</f>
        <v>1</v>
      </c>
      <c r="X456">
        <v>24</v>
      </c>
      <c r="Y456">
        <f t="shared" ref="Y456" si="1517">Y455</f>
        <v>0</v>
      </c>
      <c r="Z456">
        <v>25</v>
      </c>
      <c r="AA456">
        <v>25</v>
      </c>
      <c r="AB456">
        <v>12</v>
      </c>
      <c r="AC456">
        <v>68</v>
      </c>
      <c r="AD456">
        <v>0</v>
      </c>
      <c r="AE456">
        <v>23</v>
      </c>
      <c r="AF456">
        <v>77</v>
      </c>
      <c r="AG456">
        <v>53</v>
      </c>
      <c r="AH456">
        <v>0</v>
      </c>
      <c r="AI456">
        <v>44</v>
      </c>
      <c r="AJ456">
        <v>62</v>
      </c>
      <c r="AK456">
        <v>0</v>
      </c>
      <c r="AL456">
        <v>0</v>
      </c>
      <c r="AM456">
        <v>-1</v>
      </c>
      <c r="AN456">
        <v>2</v>
      </c>
      <c r="AO456">
        <v>1</v>
      </c>
      <c r="AP456">
        <v>0</v>
      </c>
      <c r="AQ456">
        <v>0</v>
      </c>
      <c r="AR456">
        <f t="shared" si="1499"/>
        <v>3</v>
      </c>
      <c r="AS456">
        <f>IF(AND(IFERROR(VLOOKUP(AJ456,Equip!$A:$N,13,FALSE),0)&gt;=5,IFERROR(VLOOKUP(AJ456,Equip!$A:$N,13,FALSE),0)&lt;=9),INT(VLOOKUP(AJ456,Equip!$A:$N,6,FALSE)*SQRT(AN456)),0)</f>
        <v>0</v>
      </c>
      <c r="AT456">
        <f>IF(AND(IFERROR(VLOOKUP(AK456,Equip!$A:$N,13,FALSE),0)&gt;=5,IFERROR(VLOOKUP(AK456,Equip!$A:$N,13,FALSE),0)&lt;=9),INT(VLOOKUP(AK456,Equip!$A:$N,6,FALSE)*SQRT(AO456)),0)</f>
        <v>0</v>
      </c>
      <c r="AU456">
        <f>IF(AND(IFERROR(VLOOKUP(AL456,Equip!$A:$N,13,FALSE),0)&gt;=5,IFERROR(VLOOKUP(AL456,Equip!$A:$N,13,FALSE),0)&lt;=9),INT(VLOOKUP(AL456,Equip!$A:$N,6,FALSE)*SQRT(AP456)),0)</f>
        <v>0</v>
      </c>
      <c r="AV456">
        <f>IF(AND(IFERROR(VLOOKUP(AM456,Equip!$A:$N,13,FALSE),0)&gt;=5,IFERROR(VLOOKUP(AM456,Equip!$A:$N,13,FALSE),0)&lt;=9),INT(VLOOKUP(AM456,Equip!$A:$N,6,FALSE)*SQRT(AQ456)),0)</f>
        <v>0</v>
      </c>
      <c r="AW456">
        <f t="shared" si="1500"/>
        <v>0</v>
      </c>
      <c r="AX456">
        <f t="shared" si="1501"/>
        <v>221</v>
      </c>
    </row>
    <row r="457" spans="1:51">
      <c r="A457">
        <v>311</v>
      </c>
      <c r="B457" t="s">
        <v>927</v>
      </c>
      <c r="C457" t="s">
        <v>928</v>
      </c>
      <c r="D457">
        <v>0</v>
      </c>
      <c r="E457">
        <v>2442</v>
      </c>
      <c r="F457">
        <v>1331</v>
      </c>
      <c r="G457">
        <v>311</v>
      </c>
      <c r="H457">
        <v>2</v>
      </c>
      <c r="I457">
        <v>4</v>
      </c>
      <c r="J457">
        <v>9</v>
      </c>
      <c r="K457">
        <v>8</v>
      </c>
      <c r="L457">
        <v>6</v>
      </c>
      <c r="M457">
        <v>59</v>
      </c>
      <c r="N457">
        <v>59</v>
      </c>
      <c r="O457">
        <v>55</v>
      </c>
      <c r="P457">
        <v>55</v>
      </c>
      <c r="Q457">
        <v>14</v>
      </c>
      <c r="R457">
        <v>23</v>
      </c>
      <c r="S457">
        <v>22</v>
      </c>
      <c r="T457">
        <v>0</v>
      </c>
      <c r="U457">
        <v>5</v>
      </c>
      <c r="V457">
        <v>8</v>
      </c>
      <c r="W457">
        <v>3</v>
      </c>
      <c r="X457">
        <v>20</v>
      </c>
      <c r="Y457">
        <v>0</v>
      </c>
      <c r="Z457">
        <v>75</v>
      </c>
      <c r="AA457">
        <v>100</v>
      </c>
      <c r="AB457">
        <v>78</v>
      </c>
      <c r="AC457">
        <v>28</v>
      </c>
      <c r="AD457">
        <v>58</v>
      </c>
      <c r="AE457">
        <v>73</v>
      </c>
      <c r="AF457">
        <v>69</v>
      </c>
      <c r="AG457">
        <v>47</v>
      </c>
      <c r="AH457">
        <v>0</v>
      </c>
      <c r="AI457">
        <v>30</v>
      </c>
      <c r="AJ457">
        <v>231</v>
      </c>
      <c r="AK457">
        <v>231</v>
      </c>
      <c r="AL457">
        <v>0</v>
      </c>
      <c r="AM457">
        <v>0</v>
      </c>
      <c r="AN457">
        <v>1</v>
      </c>
      <c r="AO457">
        <v>1</v>
      </c>
      <c r="AP457">
        <v>1</v>
      </c>
      <c r="AQ457">
        <v>1</v>
      </c>
      <c r="AR457">
        <f t="shared" si="1499"/>
        <v>4</v>
      </c>
      <c r="AS457">
        <f>IF(AND(IFERROR(VLOOKUP(AJ457,Equip!$A:$N,13,FALSE),0)&gt;=5,IFERROR(VLOOKUP(AJ457,Equip!$A:$N,13,FALSE),0)&lt;=9),INT(VLOOKUP(AJ457,Equip!$A:$N,6,FALSE)*SQRT(AN457)),0)</f>
        <v>0</v>
      </c>
      <c r="AT457">
        <f>IF(AND(IFERROR(VLOOKUP(AK457,Equip!$A:$N,13,FALSE),0)&gt;=5,IFERROR(VLOOKUP(AK457,Equip!$A:$N,13,FALSE),0)&lt;=9),INT(VLOOKUP(AK457,Equip!$A:$N,6,FALSE)*SQRT(AO457)),0)</f>
        <v>0</v>
      </c>
      <c r="AU457">
        <f>IF(AND(IFERROR(VLOOKUP(AL457,Equip!$A:$N,13,FALSE),0)&gt;=5,IFERROR(VLOOKUP(AL457,Equip!$A:$N,13,FALSE),0)&lt;=9),INT(VLOOKUP(AL457,Equip!$A:$N,6,FALSE)*SQRT(AP457)),0)</f>
        <v>0</v>
      </c>
      <c r="AV457">
        <f>IF(AND(IFERROR(VLOOKUP(AM457,Equip!$A:$N,13,FALSE),0)&gt;=5,IFERROR(VLOOKUP(AM457,Equip!$A:$N,13,FALSE),0)&lt;=9),INT(VLOOKUP(AM457,Equip!$A:$N,6,FALSE)*SQRT(AQ457)),0)</f>
        <v>0</v>
      </c>
      <c r="AW457">
        <f t="shared" si="1500"/>
        <v>0</v>
      </c>
      <c r="AX457">
        <f t="shared" si="1501"/>
        <v>373</v>
      </c>
    </row>
    <row r="458" spans="1:51" ht="14.25">
      <c r="A458">
        <v>311</v>
      </c>
      <c r="B458" t="s">
        <v>1388</v>
      </c>
      <c r="C458" s="4" t="s">
        <v>1389</v>
      </c>
      <c r="D458">
        <v>1</v>
      </c>
      <c r="E458">
        <f t="shared" ref="E458:E459" si="1518">E457</f>
        <v>2442</v>
      </c>
      <c r="F458">
        <f t="shared" ref="F458:F459" si="1519">F457</f>
        <v>1331</v>
      </c>
      <c r="G458">
        <f t="shared" ref="G458:G459" si="1520">G457</f>
        <v>311</v>
      </c>
      <c r="H458">
        <f t="shared" ref="H458:H459" si="1521">H457</f>
        <v>2</v>
      </c>
      <c r="I458">
        <f t="shared" ref="I458:I459" si="1522">I457</f>
        <v>4</v>
      </c>
      <c r="J458">
        <f t="shared" ref="J458:J459" si="1523">J457</f>
        <v>9</v>
      </c>
      <c r="K458">
        <v>8</v>
      </c>
      <c r="L458">
        <v>6</v>
      </c>
      <c r="M458">
        <v>72</v>
      </c>
      <c r="N458">
        <v>72</v>
      </c>
      <c r="O458">
        <v>65</v>
      </c>
      <c r="P458">
        <v>68</v>
      </c>
      <c r="Q458">
        <v>0</v>
      </c>
      <c r="R458">
        <v>30</v>
      </c>
      <c r="S458">
        <v>36</v>
      </c>
      <c r="T458">
        <v>0</v>
      </c>
      <c r="U458">
        <f t="shared" ref="U458:U459" si="1524">U457</f>
        <v>5</v>
      </c>
      <c r="V458">
        <v>10</v>
      </c>
      <c r="W458">
        <f t="shared" ref="W458:W459" si="1525">W457</f>
        <v>3</v>
      </c>
      <c r="X458">
        <v>30</v>
      </c>
      <c r="Y458">
        <f t="shared" ref="Y458:Y459" si="1526">Y457</f>
        <v>0</v>
      </c>
      <c r="Z458">
        <v>80</v>
      </c>
      <c r="AA458">
        <v>105</v>
      </c>
      <c r="AB458">
        <v>89</v>
      </c>
      <c r="AC458">
        <v>0</v>
      </c>
      <c r="AD458">
        <v>65</v>
      </c>
      <c r="AE458">
        <v>90</v>
      </c>
      <c r="AF458">
        <v>79</v>
      </c>
      <c r="AG458">
        <v>66</v>
      </c>
      <c r="AH458">
        <v>0</v>
      </c>
      <c r="AI458">
        <v>36</v>
      </c>
      <c r="AJ458">
        <v>232</v>
      </c>
      <c r="AK458">
        <v>0</v>
      </c>
      <c r="AL458">
        <v>0</v>
      </c>
      <c r="AM458">
        <v>0</v>
      </c>
      <c r="AN458">
        <v>1</v>
      </c>
      <c r="AO458">
        <v>1</v>
      </c>
      <c r="AP458">
        <v>1</v>
      </c>
      <c r="AQ458">
        <v>1</v>
      </c>
      <c r="AR458">
        <f t="shared" si="1499"/>
        <v>4</v>
      </c>
      <c r="AS458">
        <f>IF(AND(IFERROR(VLOOKUP(AJ458,Equip!$A:$N,13,FALSE),0)&gt;=5,IFERROR(VLOOKUP(AJ458,Equip!$A:$N,13,FALSE),0)&lt;=9),INT(VLOOKUP(AJ458,Equip!$A:$N,6,FALSE)*SQRT(AN458)),0)</f>
        <v>0</v>
      </c>
      <c r="AT458">
        <f>IF(AND(IFERROR(VLOOKUP(AK458,Equip!$A:$N,13,FALSE),0)&gt;=5,IFERROR(VLOOKUP(AK458,Equip!$A:$N,13,FALSE),0)&lt;=9),INT(VLOOKUP(AK458,Equip!$A:$N,6,FALSE)*SQRT(AO458)),0)</f>
        <v>0</v>
      </c>
      <c r="AU458">
        <f>IF(AND(IFERROR(VLOOKUP(AL458,Equip!$A:$N,13,FALSE),0)&gt;=5,IFERROR(VLOOKUP(AL458,Equip!$A:$N,13,FALSE),0)&lt;=9),INT(VLOOKUP(AL458,Equip!$A:$N,6,FALSE)*SQRT(AP458)),0)</f>
        <v>0</v>
      </c>
      <c r="AV458">
        <f>IF(AND(IFERROR(VLOOKUP(AM458,Equip!$A:$N,13,FALSE),0)&gt;=5,IFERROR(VLOOKUP(AM458,Equip!$A:$N,13,FALSE),0)&lt;=9),INT(VLOOKUP(AM458,Equip!$A:$N,6,FALSE)*SQRT(AQ458)),0)</f>
        <v>0</v>
      </c>
      <c r="AW458">
        <f t="shared" si="1500"/>
        <v>0</v>
      </c>
      <c r="AX458">
        <f t="shared" si="1501"/>
        <v>418</v>
      </c>
    </row>
    <row r="459" spans="1:51">
      <c r="A459">
        <v>311</v>
      </c>
      <c r="B459" t="s">
        <v>927</v>
      </c>
      <c r="C459" t="s">
        <v>928</v>
      </c>
      <c r="D459">
        <v>2</v>
      </c>
      <c r="E459">
        <f t="shared" si="1518"/>
        <v>2442</v>
      </c>
      <c r="F459">
        <f t="shared" si="1519"/>
        <v>1331</v>
      </c>
      <c r="G459">
        <f t="shared" si="1520"/>
        <v>311</v>
      </c>
      <c r="H459">
        <f t="shared" si="1521"/>
        <v>2</v>
      </c>
      <c r="I459">
        <f t="shared" si="1522"/>
        <v>4</v>
      </c>
      <c r="J459">
        <f t="shared" si="1523"/>
        <v>9</v>
      </c>
      <c r="K459">
        <v>8</v>
      </c>
      <c r="L459">
        <v>6</v>
      </c>
      <c r="M459">
        <v>77</v>
      </c>
      <c r="N459">
        <v>77</v>
      </c>
      <c r="O459">
        <v>81</v>
      </c>
      <c r="P459">
        <v>79</v>
      </c>
      <c r="Q459">
        <v>16</v>
      </c>
      <c r="R459">
        <v>59</v>
      </c>
      <c r="S459">
        <v>38</v>
      </c>
      <c r="T459">
        <v>0</v>
      </c>
      <c r="U459">
        <f t="shared" si="1524"/>
        <v>5</v>
      </c>
      <c r="V459">
        <v>32</v>
      </c>
      <c r="W459">
        <f t="shared" si="1525"/>
        <v>3</v>
      </c>
      <c r="X459">
        <v>35</v>
      </c>
      <c r="Y459">
        <f t="shared" si="1526"/>
        <v>0</v>
      </c>
      <c r="Z459">
        <v>85</v>
      </c>
      <c r="AA459">
        <v>110</v>
      </c>
      <c r="AB459">
        <v>90</v>
      </c>
      <c r="AC459">
        <v>32</v>
      </c>
      <c r="AD459">
        <v>72</v>
      </c>
      <c r="AE459">
        <v>95</v>
      </c>
      <c r="AF459">
        <v>88</v>
      </c>
      <c r="AG459">
        <v>68</v>
      </c>
      <c r="AH459">
        <v>0</v>
      </c>
      <c r="AI459">
        <v>38</v>
      </c>
      <c r="AJ459">
        <v>232</v>
      </c>
      <c r="AK459">
        <v>0</v>
      </c>
      <c r="AL459">
        <v>0</v>
      </c>
      <c r="AM459">
        <v>0</v>
      </c>
      <c r="AN459">
        <v>1</v>
      </c>
      <c r="AO459">
        <v>1</v>
      </c>
      <c r="AP459">
        <v>2</v>
      </c>
      <c r="AQ459">
        <v>2</v>
      </c>
      <c r="AR459">
        <f t="shared" si="1499"/>
        <v>6</v>
      </c>
      <c r="AS459">
        <f>IF(AND(IFERROR(VLOOKUP(AJ459,Equip!$A:$N,13,FALSE),0)&gt;=5,IFERROR(VLOOKUP(AJ459,Equip!$A:$N,13,FALSE),0)&lt;=9),INT(VLOOKUP(AJ459,Equip!$A:$N,6,FALSE)*SQRT(AN459)),0)</f>
        <v>0</v>
      </c>
      <c r="AT459">
        <f>IF(AND(IFERROR(VLOOKUP(AK459,Equip!$A:$N,13,FALSE),0)&gt;=5,IFERROR(VLOOKUP(AK459,Equip!$A:$N,13,FALSE),0)&lt;=9),INT(VLOOKUP(AK459,Equip!$A:$N,6,FALSE)*SQRT(AO459)),0)</f>
        <v>0</v>
      </c>
      <c r="AU459">
        <f>IF(AND(IFERROR(VLOOKUP(AL459,Equip!$A:$N,13,FALSE),0)&gt;=5,IFERROR(VLOOKUP(AL459,Equip!$A:$N,13,FALSE),0)&lt;=9),INT(VLOOKUP(AL459,Equip!$A:$N,6,FALSE)*SQRT(AP459)),0)</f>
        <v>0</v>
      </c>
      <c r="AV459">
        <f>IF(AND(IFERROR(VLOOKUP(AM459,Equip!$A:$N,13,FALSE),0)&gt;=5,IFERROR(VLOOKUP(AM459,Equip!$A:$N,13,FALSE),0)&lt;=9),INT(VLOOKUP(AM459,Equip!$A:$N,6,FALSE)*SQRT(AQ459)),0)</f>
        <v>0</v>
      </c>
      <c r="AW459">
        <f t="shared" si="1500"/>
        <v>0</v>
      </c>
      <c r="AX459">
        <f t="shared" si="1501"/>
        <v>472</v>
      </c>
    </row>
    <row r="460" spans="1:51" ht="14.25">
      <c r="A460">
        <v>317</v>
      </c>
      <c r="B460" t="s">
        <v>929</v>
      </c>
      <c r="C460" t="s">
        <v>929</v>
      </c>
      <c r="D460">
        <v>0</v>
      </c>
      <c r="E460">
        <v>1133</v>
      </c>
      <c r="F460">
        <v>697</v>
      </c>
      <c r="G460">
        <v>317</v>
      </c>
      <c r="H460">
        <v>0</v>
      </c>
      <c r="I460">
        <v>1</v>
      </c>
      <c r="J460">
        <v>3</v>
      </c>
      <c r="K460">
        <v>1</v>
      </c>
      <c r="L460">
        <v>1</v>
      </c>
      <c r="M460">
        <v>9</v>
      </c>
      <c r="N460">
        <v>9</v>
      </c>
      <c r="O460">
        <v>4</v>
      </c>
      <c r="P460">
        <v>4</v>
      </c>
      <c r="Q460">
        <v>0</v>
      </c>
      <c r="R460">
        <v>42</v>
      </c>
      <c r="S460">
        <v>7</v>
      </c>
      <c r="T460">
        <v>32</v>
      </c>
      <c r="U460">
        <v>5</v>
      </c>
      <c r="V460">
        <v>3</v>
      </c>
      <c r="W460">
        <v>1</v>
      </c>
      <c r="X460">
        <v>40</v>
      </c>
      <c r="Y460">
        <v>0</v>
      </c>
      <c r="Z460">
        <v>10</v>
      </c>
      <c r="AA460">
        <v>10</v>
      </c>
      <c r="AB460">
        <v>18</v>
      </c>
      <c r="AC460">
        <v>0</v>
      </c>
      <c r="AD460">
        <v>24</v>
      </c>
      <c r="AE460">
        <v>16</v>
      </c>
      <c r="AF460">
        <v>79</v>
      </c>
      <c r="AG460">
        <v>83</v>
      </c>
      <c r="AH460">
        <v>72</v>
      </c>
      <c r="AI460">
        <v>13</v>
      </c>
      <c r="AJ460">
        <v>1</v>
      </c>
      <c r="AK460">
        <v>39</v>
      </c>
      <c r="AL460">
        <v>-1</v>
      </c>
      <c r="AM460">
        <v>-1</v>
      </c>
      <c r="AN460">
        <v>0</v>
      </c>
      <c r="AO460">
        <v>0</v>
      </c>
      <c r="AP460">
        <v>0</v>
      </c>
      <c r="AQ460">
        <v>0</v>
      </c>
      <c r="AR460">
        <f t="shared" si="1499"/>
        <v>0</v>
      </c>
      <c r="AS460">
        <f>IF(AND(IFERROR(VLOOKUP(AJ460,Equip!$A:$N,13,FALSE),0)&gt;=5,IFERROR(VLOOKUP(AJ460,Equip!$A:$N,13,FALSE),0)&lt;=9),INT(VLOOKUP(AJ460,Equip!$A:$N,6,FALSE)*SQRT(AN460)),0)</f>
        <v>0</v>
      </c>
      <c r="AT460">
        <f>IF(AND(IFERROR(VLOOKUP(AK460,Equip!$A:$N,13,FALSE),0)&gt;=5,IFERROR(VLOOKUP(AK460,Equip!$A:$N,13,FALSE),0)&lt;=9),INT(VLOOKUP(AK460,Equip!$A:$N,6,FALSE)*SQRT(AO460)),0)</f>
        <v>0</v>
      </c>
      <c r="AU460">
        <f>IF(AND(IFERROR(VLOOKUP(AL460,Equip!$A:$N,13,FALSE),0)&gt;=5,IFERROR(VLOOKUP(AL460,Equip!$A:$N,13,FALSE),0)&lt;=9),INT(VLOOKUP(AL460,Equip!$A:$N,6,FALSE)*SQRT(AP460)),0)</f>
        <v>0</v>
      </c>
      <c r="AV460">
        <f>IF(AND(IFERROR(VLOOKUP(AM460,Equip!$A:$N,13,FALSE),0)&gt;=5,IFERROR(VLOOKUP(AM460,Equip!$A:$N,13,FALSE),0)&lt;=9),INT(VLOOKUP(AM460,Equip!$A:$N,6,FALSE)*SQRT(AQ460)),0)</f>
        <v>0</v>
      </c>
      <c r="AW460">
        <f t="shared" si="1500"/>
        <v>0</v>
      </c>
      <c r="AX460">
        <f t="shared" si="1501"/>
        <v>235</v>
      </c>
      <c r="AY460" s="4" t="s">
        <v>1393</v>
      </c>
    </row>
    <row r="461" spans="1:51" ht="14.25">
      <c r="A461">
        <v>317</v>
      </c>
      <c r="B461" t="s">
        <v>929</v>
      </c>
      <c r="C461" t="s">
        <v>929</v>
      </c>
      <c r="D461">
        <v>1</v>
      </c>
      <c r="E461">
        <f>E460</f>
        <v>1133</v>
      </c>
      <c r="F461">
        <f t="shared" ref="F461" si="1527">F460</f>
        <v>697</v>
      </c>
      <c r="G461">
        <f t="shared" ref="G461" si="1528">G460</f>
        <v>317</v>
      </c>
      <c r="H461">
        <f t="shared" ref="H461" si="1529">H460</f>
        <v>0</v>
      </c>
      <c r="I461">
        <f t="shared" ref="I461" si="1530">I460</f>
        <v>1</v>
      </c>
      <c r="J461">
        <f t="shared" ref="J461" si="1531">J460</f>
        <v>3</v>
      </c>
      <c r="K461">
        <v>1</v>
      </c>
      <c r="L461">
        <v>1</v>
      </c>
      <c r="M461">
        <v>17</v>
      </c>
      <c r="N461">
        <v>17</v>
      </c>
      <c r="O461">
        <v>5</v>
      </c>
      <c r="P461">
        <v>6</v>
      </c>
      <c r="Q461">
        <v>0</v>
      </c>
      <c r="R461">
        <v>58</v>
      </c>
      <c r="S461">
        <v>11</v>
      </c>
      <c r="T461">
        <v>35</v>
      </c>
      <c r="U461">
        <f t="shared" ref="U461" si="1532">U460</f>
        <v>5</v>
      </c>
      <c r="V461">
        <v>5</v>
      </c>
      <c r="W461">
        <f t="shared" ref="W461" si="1533">W460</f>
        <v>1</v>
      </c>
      <c r="X461">
        <v>50</v>
      </c>
      <c r="Y461">
        <f t="shared" ref="Y461" si="1534">Y460</f>
        <v>0</v>
      </c>
      <c r="Z461">
        <v>10</v>
      </c>
      <c r="AA461">
        <v>10</v>
      </c>
      <c r="AB461">
        <v>35</v>
      </c>
      <c r="AC461">
        <v>0</v>
      </c>
      <c r="AD461">
        <v>53</v>
      </c>
      <c r="AE461">
        <v>33</v>
      </c>
      <c r="AF461">
        <v>89</v>
      </c>
      <c r="AG461">
        <v>92</v>
      </c>
      <c r="AH461">
        <v>77</v>
      </c>
      <c r="AI461">
        <v>28</v>
      </c>
      <c r="AJ461">
        <v>44</v>
      </c>
      <c r="AK461">
        <v>226</v>
      </c>
      <c r="AL461">
        <v>39</v>
      </c>
      <c r="AM461">
        <v>-1</v>
      </c>
      <c r="AN461">
        <v>0</v>
      </c>
      <c r="AO461">
        <v>0</v>
      </c>
      <c r="AP461">
        <v>0</v>
      </c>
      <c r="AQ461">
        <v>0</v>
      </c>
      <c r="AR461">
        <f t="shared" si="1499"/>
        <v>0</v>
      </c>
      <c r="AS461">
        <f>IF(AND(IFERROR(VLOOKUP(AJ461,Equip!$A:$N,13,FALSE),0)&gt;=5,IFERROR(VLOOKUP(AJ461,Equip!$A:$N,13,FALSE),0)&lt;=9),INT(VLOOKUP(AJ461,Equip!$A:$N,6,FALSE)*SQRT(AN461)),0)</f>
        <v>0</v>
      </c>
      <c r="AT461">
        <f>IF(AND(IFERROR(VLOOKUP(AK461,Equip!$A:$N,13,FALSE),0)&gt;=5,IFERROR(VLOOKUP(AK461,Equip!$A:$N,13,FALSE),0)&lt;=9),INT(VLOOKUP(AK461,Equip!$A:$N,6,FALSE)*SQRT(AO461)),0)</f>
        <v>0</v>
      </c>
      <c r="AU461">
        <f>IF(AND(IFERROR(VLOOKUP(AL461,Equip!$A:$N,13,FALSE),0)&gt;=5,IFERROR(VLOOKUP(AL461,Equip!$A:$N,13,FALSE),0)&lt;=9),INT(VLOOKUP(AL461,Equip!$A:$N,6,FALSE)*SQRT(AP461)),0)</f>
        <v>0</v>
      </c>
      <c r="AV461">
        <f>IF(AND(IFERROR(VLOOKUP(AM461,Equip!$A:$N,13,FALSE),0)&gt;=5,IFERROR(VLOOKUP(AM461,Equip!$A:$N,13,FALSE),0)&lt;=9),INT(VLOOKUP(AM461,Equip!$A:$N,6,FALSE)*SQRT(AQ461)),0)</f>
        <v>0</v>
      </c>
      <c r="AW461">
        <f t="shared" si="1500"/>
        <v>0</v>
      </c>
      <c r="AX461">
        <f t="shared" si="1501"/>
        <v>335</v>
      </c>
      <c r="AY461" s="4" t="s">
        <v>1393</v>
      </c>
    </row>
    <row r="462" spans="1:51" ht="14.25">
      <c r="A462">
        <v>318</v>
      </c>
      <c r="B462" t="s">
        <v>930</v>
      </c>
      <c r="C462" t="s">
        <v>930</v>
      </c>
      <c r="D462">
        <v>0</v>
      </c>
      <c r="E462">
        <v>1142</v>
      </c>
      <c r="F462">
        <v>699</v>
      </c>
      <c r="G462">
        <v>318</v>
      </c>
      <c r="H462">
        <v>0</v>
      </c>
      <c r="I462">
        <v>1</v>
      </c>
      <c r="J462">
        <v>9</v>
      </c>
      <c r="K462">
        <v>1</v>
      </c>
      <c r="L462">
        <v>1</v>
      </c>
      <c r="M462">
        <v>9</v>
      </c>
      <c r="N462">
        <v>9</v>
      </c>
      <c r="O462">
        <v>4</v>
      </c>
      <c r="P462">
        <v>4</v>
      </c>
      <c r="Q462">
        <v>0</v>
      </c>
      <c r="R462">
        <v>41</v>
      </c>
      <c r="S462">
        <v>6</v>
      </c>
      <c r="T462">
        <v>31</v>
      </c>
      <c r="U462">
        <v>5</v>
      </c>
      <c r="V462">
        <v>4</v>
      </c>
      <c r="W462">
        <v>1</v>
      </c>
      <c r="X462">
        <v>35</v>
      </c>
      <c r="Y462">
        <v>0</v>
      </c>
      <c r="Z462">
        <v>10</v>
      </c>
      <c r="AA462">
        <v>10</v>
      </c>
      <c r="AB462">
        <v>19</v>
      </c>
      <c r="AC462">
        <v>0</v>
      </c>
      <c r="AD462">
        <v>22</v>
      </c>
      <c r="AE462">
        <v>16</v>
      </c>
      <c r="AF462">
        <v>78</v>
      </c>
      <c r="AG462">
        <v>82</v>
      </c>
      <c r="AH462">
        <v>70</v>
      </c>
      <c r="AI462">
        <v>14</v>
      </c>
      <c r="AJ462">
        <v>1</v>
      </c>
      <c r="AK462">
        <v>39</v>
      </c>
      <c r="AL462">
        <v>-1</v>
      </c>
      <c r="AM462">
        <v>-1</v>
      </c>
      <c r="AN462">
        <v>0</v>
      </c>
      <c r="AO462">
        <v>0</v>
      </c>
      <c r="AP462">
        <v>0</v>
      </c>
      <c r="AQ462">
        <v>0</v>
      </c>
      <c r="AR462">
        <f t="shared" si="1499"/>
        <v>0</v>
      </c>
      <c r="AS462">
        <f>IF(AND(IFERROR(VLOOKUP(AJ462,Equip!$A:$N,13,FALSE),0)&gt;=5,IFERROR(VLOOKUP(AJ462,Equip!$A:$N,13,FALSE),0)&lt;=9),INT(VLOOKUP(AJ462,Equip!$A:$N,6,FALSE)*SQRT(AN462)),0)</f>
        <v>0</v>
      </c>
      <c r="AT462">
        <f>IF(AND(IFERROR(VLOOKUP(AK462,Equip!$A:$N,13,FALSE),0)&gt;=5,IFERROR(VLOOKUP(AK462,Equip!$A:$N,13,FALSE),0)&lt;=9),INT(VLOOKUP(AK462,Equip!$A:$N,6,FALSE)*SQRT(AO462)),0)</f>
        <v>0</v>
      </c>
      <c r="AU462">
        <f>IF(AND(IFERROR(VLOOKUP(AL462,Equip!$A:$N,13,FALSE),0)&gt;=5,IFERROR(VLOOKUP(AL462,Equip!$A:$N,13,FALSE),0)&lt;=9),INT(VLOOKUP(AL462,Equip!$A:$N,6,FALSE)*SQRT(AP462)),0)</f>
        <v>0</v>
      </c>
      <c r="AV462">
        <f>IF(AND(IFERROR(VLOOKUP(AM462,Equip!$A:$N,13,FALSE),0)&gt;=5,IFERROR(VLOOKUP(AM462,Equip!$A:$N,13,FALSE),0)&lt;=9),INT(VLOOKUP(AM462,Equip!$A:$N,6,FALSE)*SQRT(AQ462)),0)</f>
        <v>0</v>
      </c>
      <c r="AW462">
        <f t="shared" si="1500"/>
        <v>0</v>
      </c>
      <c r="AX462">
        <f t="shared" si="1501"/>
        <v>232</v>
      </c>
      <c r="AY462" s="4" t="s">
        <v>1393</v>
      </c>
    </row>
    <row r="463" spans="1:51" ht="14.25">
      <c r="A463">
        <v>318</v>
      </c>
      <c r="B463" t="s">
        <v>930</v>
      </c>
      <c r="C463" t="s">
        <v>930</v>
      </c>
      <c r="D463">
        <v>1</v>
      </c>
      <c r="E463">
        <f>E462</f>
        <v>1142</v>
      </c>
      <c r="F463">
        <f t="shared" ref="F463" si="1535">F462</f>
        <v>699</v>
      </c>
      <c r="G463">
        <f t="shared" ref="G463" si="1536">G462</f>
        <v>318</v>
      </c>
      <c r="H463">
        <f t="shared" ref="H463" si="1537">H462</f>
        <v>0</v>
      </c>
      <c r="I463">
        <f t="shared" ref="I463" si="1538">I462</f>
        <v>1</v>
      </c>
      <c r="J463">
        <f t="shared" ref="J463" si="1539">J462</f>
        <v>9</v>
      </c>
      <c r="K463">
        <v>1</v>
      </c>
      <c r="L463">
        <v>1</v>
      </c>
      <c r="M463">
        <v>17</v>
      </c>
      <c r="N463">
        <v>17</v>
      </c>
      <c r="O463">
        <v>5</v>
      </c>
      <c r="P463">
        <v>7</v>
      </c>
      <c r="Q463">
        <v>0</v>
      </c>
      <c r="R463">
        <v>57</v>
      </c>
      <c r="S463">
        <v>10</v>
      </c>
      <c r="T463">
        <v>34</v>
      </c>
      <c r="U463">
        <f t="shared" ref="U463" si="1540">U462</f>
        <v>5</v>
      </c>
      <c r="V463">
        <v>6</v>
      </c>
      <c r="W463">
        <f t="shared" ref="W463" si="1541">W462</f>
        <v>1</v>
      </c>
      <c r="X463">
        <v>45</v>
      </c>
      <c r="Y463">
        <f t="shared" ref="Y463" si="1542">Y462</f>
        <v>0</v>
      </c>
      <c r="Z463">
        <v>10</v>
      </c>
      <c r="AA463">
        <v>10</v>
      </c>
      <c r="AB463">
        <v>36</v>
      </c>
      <c r="AC463">
        <v>0</v>
      </c>
      <c r="AD463">
        <v>52</v>
      </c>
      <c r="AE463">
        <v>33</v>
      </c>
      <c r="AF463">
        <v>88</v>
      </c>
      <c r="AG463">
        <v>91</v>
      </c>
      <c r="AH463">
        <v>75</v>
      </c>
      <c r="AI463">
        <v>29</v>
      </c>
      <c r="AJ463">
        <v>229</v>
      </c>
      <c r="AK463">
        <v>44</v>
      </c>
      <c r="AL463">
        <v>0</v>
      </c>
      <c r="AM463">
        <v>-1</v>
      </c>
      <c r="AN463">
        <v>0</v>
      </c>
      <c r="AO463">
        <v>0</v>
      </c>
      <c r="AP463">
        <v>0</v>
      </c>
      <c r="AQ463">
        <v>0</v>
      </c>
      <c r="AR463">
        <f t="shared" si="1499"/>
        <v>0</v>
      </c>
      <c r="AS463">
        <f>IF(AND(IFERROR(VLOOKUP(AJ463,Equip!$A:$N,13,FALSE),0)&gt;=5,IFERROR(VLOOKUP(AJ463,Equip!$A:$N,13,FALSE),0)&lt;=9),INT(VLOOKUP(AJ463,Equip!$A:$N,6,FALSE)*SQRT(AN463)),0)</f>
        <v>0</v>
      </c>
      <c r="AT463">
        <f>IF(AND(IFERROR(VLOOKUP(AK463,Equip!$A:$N,13,FALSE),0)&gt;=5,IFERROR(VLOOKUP(AK463,Equip!$A:$N,13,FALSE),0)&lt;=9),INT(VLOOKUP(AK463,Equip!$A:$N,6,FALSE)*SQRT(AO463)),0)</f>
        <v>0</v>
      </c>
      <c r="AU463">
        <f>IF(AND(IFERROR(VLOOKUP(AL463,Equip!$A:$N,13,FALSE),0)&gt;=5,IFERROR(VLOOKUP(AL463,Equip!$A:$N,13,FALSE),0)&lt;=9),INT(VLOOKUP(AL463,Equip!$A:$N,6,FALSE)*SQRT(AP463)),0)</f>
        <v>0</v>
      </c>
      <c r="AV463">
        <f>IF(AND(IFERROR(VLOOKUP(AM463,Equip!$A:$N,13,FALSE),0)&gt;=5,IFERROR(VLOOKUP(AM463,Equip!$A:$N,13,FALSE),0)&lt;=9),INT(VLOOKUP(AM463,Equip!$A:$N,6,FALSE)*SQRT(AQ463)),0)</f>
        <v>0</v>
      </c>
      <c r="AW463">
        <f t="shared" si="1500"/>
        <v>0</v>
      </c>
      <c r="AX463">
        <f t="shared" si="1501"/>
        <v>333</v>
      </c>
      <c r="AY463" s="4" t="s">
        <v>1393</v>
      </c>
    </row>
    <row r="464" spans="1:51">
      <c r="A464">
        <v>321</v>
      </c>
      <c r="B464" t="s">
        <v>931</v>
      </c>
      <c r="C464" t="s">
        <v>931</v>
      </c>
      <c r="D464">
        <v>0</v>
      </c>
      <c r="E464">
        <v>1950</v>
      </c>
      <c r="F464">
        <v>1075</v>
      </c>
      <c r="G464">
        <v>321</v>
      </c>
      <c r="H464">
        <v>2</v>
      </c>
      <c r="I464">
        <v>1</v>
      </c>
      <c r="J464">
        <v>6</v>
      </c>
      <c r="K464">
        <v>9</v>
      </c>
      <c r="L464">
        <v>4</v>
      </c>
      <c r="M464">
        <v>36</v>
      </c>
      <c r="N464">
        <v>36</v>
      </c>
      <c r="O464">
        <v>0</v>
      </c>
      <c r="P464">
        <v>14</v>
      </c>
      <c r="Q464">
        <v>0</v>
      </c>
      <c r="R464">
        <v>24</v>
      </c>
      <c r="S464">
        <v>12</v>
      </c>
      <c r="T464">
        <v>0</v>
      </c>
      <c r="U464">
        <v>5</v>
      </c>
      <c r="V464">
        <v>28</v>
      </c>
      <c r="W464">
        <v>1</v>
      </c>
      <c r="X464">
        <v>5</v>
      </c>
      <c r="Y464">
        <v>0</v>
      </c>
      <c r="Z464">
        <v>25</v>
      </c>
      <c r="AA464">
        <v>25</v>
      </c>
      <c r="AB464">
        <v>9</v>
      </c>
      <c r="AC464">
        <v>0</v>
      </c>
      <c r="AD464">
        <v>34</v>
      </c>
      <c r="AE464">
        <v>32</v>
      </c>
      <c r="AF464">
        <v>39</v>
      </c>
      <c r="AG464">
        <v>39</v>
      </c>
      <c r="AH464">
        <v>0</v>
      </c>
      <c r="AI464">
        <v>48</v>
      </c>
      <c r="AJ464">
        <v>228</v>
      </c>
      <c r="AK464">
        <v>0</v>
      </c>
      <c r="AL464">
        <v>-1</v>
      </c>
      <c r="AM464">
        <v>-1</v>
      </c>
      <c r="AN464">
        <v>14</v>
      </c>
      <c r="AO464">
        <v>9</v>
      </c>
      <c r="AP464">
        <v>0</v>
      </c>
      <c r="AQ464">
        <v>0</v>
      </c>
      <c r="AR464">
        <f t="shared" si="1499"/>
        <v>23</v>
      </c>
      <c r="AS464">
        <f>IF(AND(IFERROR(VLOOKUP(AJ464,Equip!$A:$N,13,FALSE),0)&gt;=5,IFERROR(VLOOKUP(AJ464,Equip!$A:$N,13,FALSE),0)&lt;=9),INT(VLOOKUP(AJ464,Equip!$A:$N,6,FALSE)*SQRT(AN464)),0)</f>
        <v>0</v>
      </c>
      <c r="AT464">
        <f>IF(AND(IFERROR(VLOOKUP(AK464,Equip!$A:$N,13,FALSE),0)&gt;=5,IFERROR(VLOOKUP(AK464,Equip!$A:$N,13,FALSE),0)&lt;=9),INT(VLOOKUP(AK464,Equip!$A:$N,6,FALSE)*SQRT(AO464)),0)</f>
        <v>0</v>
      </c>
      <c r="AU464">
        <f>IF(AND(IFERROR(VLOOKUP(AL464,Equip!$A:$N,13,FALSE),0)&gt;=5,IFERROR(VLOOKUP(AL464,Equip!$A:$N,13,FALSE),0)&lt;=9),INT(VLOOKUP(AL464,Equip!$A:$N,6,FALSE)*SQRT(AP464)),0)</f>
        <v>0</v>
      </c>
      <c r="AV464">
        <f>IF(AND(IFERROR(VLOOKUP(AM464,Equip!$A:$N,13,FALSE),0)&gt;=5,IFERROR(VLOOKUP(AM464,Equip!$A:$N,13,FALSE),0)&lt;=9),INT(VLOOKUP(AM464,Equip!$A:$N,6,FALSE)*SQRT(AQ464)),0)</f>
        <v>0</v>
      </c>
      <c r="AW464">
        <f t="shared" si="1500"/>
        <v>0</v>
      </c>
      <c r="AX464">
        <f t="shared" si="1501"/>
        <v>198</v>
      </c>
    </row>
    <row r="465" spans="1:51" ht="14.25">
      <c r="A465">
        <v>321</v>
      </c>
      <c r="B465" s="4" t="s">
        <v>1391</v>
      </c>
      <c r="C465" s="4" t="s">
        <v>1391</v>
      </c>
      <c r="D465">
        <v>1</v>
      </c>
      <c r="E465">
        <f t="shared" ref="E465:E467" si="1543">E464</f>
        <v>1950</v>
      </c>
      <c r="F465">
        <f t="shared" ref="F465:F467" si="1544">F464</f>
        <v>1075</v>
      </c>
      <c r="G465">
        <f t="shared" ref="G465:G467" si="1545">G464</f>
        <v>321</v>
      </c>
      <c r="H465">
        <f t="shared" ref="H465:H467" si="1546">H464</f>
        <v>2</v>
      </c>
      <c r="I465">
        <f t="shared" ref="I465:I467" si="1547">I464</f>
        <v>1</v>
      </c>
      <c r="J465">
        <f t="shared" ref="J465:J467" si="1548">J464</f>
        <v>6</v>
      </c>
      <c r="K465">
        <v>9</v>
      </c>
      <c r="L465">
        <v>4</v>
      </c>
      <c r="M465">
        <v>37</v>
      </c>
      <c r="N465">
        <v>37</v>
      </c>
      <c r="O465">
        <v>0</v>
      </c>
      <c r="P465">
        <v>15</v>
      </c>
      <c r="Q465">
        <v>0</v>
      </c>
      <c r="R465">
        <v>24</v>
      </c>
      <c r="S465">
        <v>13</v>
      </c>
      <c r="T465">
        <v>35</v>
      </c>
      <c r="U465">
        <f t="shared" ref="U465:U467" si="1549">U464</f>
        <v>5</v>
      </c>
      <c r="V465">
        <v>30</v>
      </c>
      <c r="W465">
        <f t="shared" ref="W465:W466" si="1550">W464</f>
        <v>1</v>
      </c>
      <c r="X465">
        <v>6</v>
      </c>
      <c r="Y465">
        <f t="shared" ref="Y465:Y467" si="1551">Y464</f>
        <v>0</v>
      </c>
      <c r="Z465">
        <v>30</v>
      </c>
      <c r="AA465">
        <v>25</v>
      </c>
      <c r="AB465">
        <v>12</v>
      </c>
      <c r="AC465">
        <v>0</v>
      </c>
      <c r="AD465">
        <v>27</v>
      </c>
      <c r="AE465">
        <v>34</v>
      </c>
      <c r="AF465">
        <v>44</v>
      </c>
      <c r="AG465">
        <v>39</v>
      </c>
      <c r="AH465">
        <v>59</v>
      </c>
      <c r="AI465">
        <v>52</v>
      </c>
      <c r="AJ465">
        <v>228</v>
      </c>
      <c r="AK465">
        <v>16</v>
      </c>
      <c r="AL465">
        <v>0</v>
      </c>
      <c r="AM465">
        <v>-1</v>
      </c>
      <c r="AN465">
        <v>14</v>
      </c>
      <c r="AO465">
        <v>11</v>
      </c>
      <c r="AP465">
        <v>2</v>
      </c>
      <c r="AQ465">
        <v>0</v>
      </c>
      <c r="AR465">
        <f t="shared" si="1499"/>
        <v>27</v>
      </c>
      <c r="AS465">
        <f>IF(AND(IFERROR(VLOOKUP(AJ465,Equip!$A:$N,13,FALSE),0)&gt;=5,IFERROR(VLOOKUP(AJ465,Equip!$A:$N,13,FALSE),0)&lt;=9),INT(VLOOKUP(AJ465,Equip!$A:$N,6,FALSE)*SQRT(AN465)),0)</f>
        <v>0</v>
      </c>
      <c r="AT465">
        <f>IF(AND(IFERROR(VLOOKUP(AK465,Equip!$A:$N,13,FALSE),0)&gt;=5,IFERROR(VLOOKUP(AK465,Equip!$A:$N,13,FALSE),0)&lt;=9),INT(VLOOKUP(AK465,Equip!$A:$N,6,FALSE)*SQRT(AO465)),0)</f>
        <v>0</v>
      </c>
      <c r="AU465">
        <f>IF(AND(IFERROR(VLOOKUP(AL465,Equip!$A:$N,13,FALSE),0)&gt;=5,IFERROR(VLOOKUP(AL465,Equip!$A:$N,13,FALSE),0)&lt;=9),INT(VLOOKUP(AL465,Equip!$A:$N,6,FALSE)*SQRT(AP465)),0)</f>
        <v>0</v>
      </c>
      <c r="AV465">
        <f>IF(AND(IFERROR(VLOOKUP(AM465,Equip!$A:$N,13,FALSE),0)&gt;=5,IFERROR(VLOOKUP(AM465,Equip!$A:$N,13,FALSE),0)&lt;=9),INT(VLOOKUP(AM465,Equip!$A:$N,6,FALSE)*SQRT(AQ465)),0)</f>
        <v>0</v>
      </c>
      <c r="AW465">
        <f t="shared" si="1500"/>
        <v>0</v>
      </c>
      <c r="AX465">
        <f t="shared" si="1501"/>
        <v>260</v>
      </c>
      <c r="AY465" s="4" t="s">
        <v>1390</v>
      </c>
    </row>
    <row r="466" spans="1:51" ht="14.25">
      <c r="A466">
        <v>321</v>
      </c>
      <c r="B466" s="4" t="s">
        <v>1391</v>
      </c>
      <c r="C466" s="4" t="s">
        <v>1391</v>
      </c>
      <c r="D466">
        <v>2</v>
      </c>
      <c r="E466">
        <f t="shared" si="1543"/>
        <v>1950</v>
      </c>
      <c r="F466">
        <f t="shared" si="1544"/>
        <v>1075</v>
      </c>
      <c r="G466">
        <f t="shared" si="1545"/>
        <v>321</v>
      </c>
      <c r="H466">
        <f t="shared" si="1546"/>
        <v>2</v>
      </c>
      <c r="I466">
        <f t="shared" si="1547"/>
        <v>1</v>
      </c>
      <c r="J466">
        <f t="shared" si="1548"/>
        <v>6</v>
      </c>
      <c r="K466">
        <v>9</v>
      </c>
      <c r="L466">
        <v>4</v>
      </c>
      <c r="M466">
        <v>47</v>
      </c>
      <c r="N466">
        <v>47</v>
      </c>
      <c r="O466">
        <v>0</v>
      </c>
      <c r="P466">
        <v>22</v>
      </c>
      <c r="Q466">
        <v>0</v>
      </c>
      <c r="R466">
        <v>30</v>
      </c>
      <c r="S466">
        <v>16</v>
      </c>
      <c r="T466">
        <v>45</v>
      </c>
      <c r="U466">
        <f t="shared" si="1549"/>
        <v>5</v>
      </c>
      <c r="V466">
        <v>36</v>
      </c>
      <c r="W466">
        <f t="shared" si="1550"/>
        <v>1</v>
      </c>
      <c r="X466">
        <v>9</v>
      </c>
      <c r="Y466">
        <f t="shared" si="1551"/>
        <v>0</v>
      </c>
      <c r="Z466">
        <v>30</v>
      </c>
      <c r="AA466">
        <v>30</v>
      </c>
      <c r="AB466">
        <v>23</v>
      </c>
      <c r="AC466">
        <v>0</v>
      </c>
      <c r="AD466">
        <v>42</v>
      </c>
      <c r="AE466">
        <v>52</v>
      </c>
      <c r="AF466">
        <v>54</v>
      </c>
      <c r="AG466">
        <v>49</v>
      </c>
      <c r="AH466">
        <v>79</v>
      </c>
      <c r="AI466">
        <v>64</v>
      </c>
      <c r="AJ466">
        <v>82</v>
      </c>
      <c r="AK466">
        <v>16</v>
      </c>
      <c r="AL466">
        <v>0</v>
      </c>
      <c r="AM466">
        <v>0</v>
      </c>
      <c r="AN466">
        <v>14</v>
      </c>
      <c r="AO466">
        <v>14</v>
      </c>
      <c r="AP466">
        <v>5</v>
      </c>
      <c r="AQ466">
        <v>3</v>
      </c>
      <c r="AR466">
        <f t="shared" si="1499"/>
        <v>36</v>
      </c>
      <c r="AS466">
        <f>IF(AND(IFERROR(VLOOKUP(AJ466,Equip!$A:$N,13,FALSE),0)&gt;=5,IFERROR(VLOOKUP(AJ466,Equip!$A:$N,13,FALSE),0)&lt;=9),INT(VLOOKUP(AJ466,Equip!$A:$N,6,FALSE)*SQRT(AN466)),0)</f>
        <v>0</v>
      </c>
      <c r="AT466">
        <f>IF(AND(IFERROR(VLOOKUP(AK466,Equip!$A:$N,13,FALSE),0)&gt;=5,IFERROR(VLOOKUP(AK466,Equip!$A:$N,13,FALSE),0)&lt;=9),INT(VLOOKUP(AK466,Equip!$A:$N,6,FALSE)*SQRT(AO466)),0)</f>
        <v>0</v>
      </c>
      <c r="AU466">
        <f>IF(AND(IFERROR(VLOOKUP(AL466,Equip!$A:$N,13,FALSE),0)&gt;=5,IFERROR(VLOOKUP(AL466,Equip!$A:$N,13,FALSE),0)&lt;=9),INT(VLOOKUP(AL466,Equip!$A:$N,6,FALSE)*SQRT(AP466)),0)</f>
        <v>0</v>
      </c>
      <c r="AV466">
        <f>IF(AND(IFERROR(VLOOKUP(AM466,Equip!$A:$N,13,FALSE),0)&gt;=5,IFERROR(VLOOKUP(AM466,Equip!$A:$N,13,FALSE),0)&lt;=9),INT(VLOOKUP(AM466,Equip!$A:$N,6,FALSE)*SQRT(AQ466)),0)</f>
        <v>0</v>
      </c>
      <c r="AW466">
        <f t="shared" si="1500"/>
        <v>0</v>
      </c>
      <c r="AX466">
        <f t="shared" si="1501"/>
        <v>356</v>
      </c>
      <c r="AY466" s="4" t="s">
        <v>1390</v>
      </c>
    </row>
    <row r="467" spans="1:51" ht="14.25">
      <c r="A467">
        <v>321</v>
      </c>
      <c r="B467" s="4" t="s">
        <v>1391</v>
      </c>
      <c r="C467" s="4" t="s">
        <v>1391</v>
      </c>
      <c r="D467">
        <v>3</v>
      </c>
      <c r="E467">
        <f t="shared" si="1543"/>
        <v>1950</v>
      </c>
      <c r="F467">
        <f t="shared" si="1544"/>
        <v>1075</v>
      </c>
      <c r="G467">
        <f t="shared" si="1545"/>
        <v>321</v>
      </c>
      <c r="H467">
        <f t="shared" si="1546"/>
        <v>2</v>
      </c>
      <c r="I467">
        <f t="shared" si="1547"/>
        <v>1</v>
      </c>
      <c r="J467">
        <f t="shared" si="1548"/>
        <v>6</v>
      </c>
      <c r="K467">
        <v>9</v>
      </c>
      <c r="L467">
        <v>4</v>
      </c>
      <c r="M467">
        <v>49</v>
      </c>
      <c r="N467">
        <v>49</v>
      </c>
      <c r="O467">
        <v>18</v>
      </c>
      <c r="P467">
        <v>26</v>
      </c>
      <c r="Q467">
        <v>0</v>
      </c>
      <c r="R467">
        <v>36</v>
      </c>
      <c r="S467">
        <v>24</v>
      </c>
      <c r="T467">
        <v>50</v>
      </c>
      <c r="U467">
        <f t="shared" si="1549"/>
        <v>5</v>
      </c>
      <c r="V467">
        <v>38</v>
      </c>
      <c r="W467">
        <v>2</v>
      </c>
      <c r="X467">
        <v>14</v>
      </c>
      <c r="Y467">
        <f t="shared" si="1551"/>
        <v>0</v>
      </c>
      <c r="Z467">
        <v>35</v>
      </c>
      <c r="AA467">
        <v>35</v>
      </c>
      <c r="AB467">
        <v>39</v>
      </c>
      <c r="AC467">
        <v>0</v>
      </c>
      <c r="AD467">
        <v>54</v>
      </c>
      <c r="AE467">
        <v>55</v>
      </c>
      <c r="AF467">
        <v>64</v>
      </c>
      <c r="AG467">
        <v>54</v>
      </c>
      <c r="AH467">
        <v>89</v>
      </c>
      <c r="AI467">
        <v>68</v>
      </c>
      <c r="AJ467">
        <v>83</v>
      </c>
      <c r="AK467">
        <v>0</v>
      </c>
      <c r="AL467">
        <v>0</v>
      </c>
      <c r="AM467">
        <v>0</v>
      </c>
      <c r="AN467">
        <v>14</v>
      </c>
      <c r="AO467">
        <v>14</v>
      </c>
      <c r="AP467">
        <v>8</v>
      </c>
      <c r="AQ467">
        <v>3</v>
      </c>
      <c r="AR467">
        <f t="shared" si="1499"/>
        <v>39</v>
      </c>
      <c r="AS467">
        <f>IF(AND(IFERROR(VLOOKUP(AJ467,Equip!$A:$N,13,FALSE),0)&gt;=5,IFERROR(VLOOKUP(AJ467,Equip!$A:$N,13,FALSE),0)&lt;=9),INT(VLOOKUP(AJ467,Equip!$A:$N,6,FALSE)*SQRT(AN467)),0)</f>
        <v>0</v>
      </c>
      <c r="AT467">
        <f>IF(AND(IFERROR(VLOOKUP(AK467,Equip!$A:$N,13,FALSE),0)&gt;=5,IFERROR(VLOOKUP(AK467,Equip!$A:$N,13,FALSE),0)&lt;=9),INT(VLOOKUP(AK467,Equip!$A:$N,6,FALSE)*SQRT(AO467)),0)</f>
        <v>0</v>
      </c>
      <c r="AU467">
        <f>IF(AND(IFERROR(VLOOKUP(AL467,Equip!$A:$N,13,FALSE),0)&gt;=5,IFERROR(VLOOKUP(AL467,Equip!$A:$N,13,FALSE),0)&lt;=9),INT(VLOOKUP(AL467,Equip!$A:$N,6,FALSE)*SQRT(AP467)),0)</f>
        <v>0</v>
      </c>
      <c r="AV467">
        <f>IF(AND(IFERROR(VLOOKUP(AM467,Equip!$A:$N,13,FALSE),0)&gt;=5,IFERROR(VLOOKUP(AM467,Equip!$A:$N,13,FALSE),0)&lt;=9),INT(VLOOKUP(AM467,Equip!$A:$N,6,FALSE)*SQRT(AQ467)),0)</f>
        <v>0</v>
      </c>
      <c r="AW467">
        <f t="shared" si="1500"/>
        <v>0</v>
      </c>
      <c r="AX467">
        <f t="shared" si="1501"/>
        <v>408</v>
      </c>
      <c r="AY467" s="4" t="s">
        <v>1390</v>
      </c>
    </row>
    <row r="468" spans="1:51" ht="14.25">
      <c r="A468">
        <v>334</v>
      </c>
      <c r="B468" t="s">
        <v>932</v>
      </c>
      <c r="C468" t="s">
        <v>932</v>
      </c>
      <c r="D468">
        <v>0</v>
      </c>
      <c r="E468">
        <v>1106</v>
      </c>
      <c r="F468">
        <v>689</v>
      </c>
      <c r="G468">
        <v>334</v>
      </c>
      <c r="H468">
        <v>0</v>
      </c>
      <c r="I468">
        <v>1</v>
      </c>
      <c r="J468">
        <v>4</v>
      </c>
      <c r="K468">
        <v>1</v>
      </c>
      <c r="L468">
        <v>1</v>
      </c>
      <c r="M468">
        <v>9</v>
      </c>
      <c r="N468">
        <v>9</v>
      </c>
      <c r="O468">
        <v>4</v>
      </c>
      <c r="P468">
        <v>4</v>
      </c>
      <c r="Q468">
        <v>0</v>
      </c>
      <c r="R468">
        <v>40</v>
      </c>
      <c r="S468">
        <v>7</v>
      </c>
      <c r="T468">
        <v>35</v>
      </c>
      <c r="U468">
        <v>5</v>
      </c>
      <c r="V468">
        <v>3</v>
      </c>
      <c r="W468">
        <v>1</v>
      </c>
      <c r="X468">
        <v>37</v>
      </c>
      <c r="Y468">
        <v>0</v>
      </c>
      <c r="Z468">
        <v>10</v>
      </c>
      <c r="AA468">
        <v>10</v>
      </c>
      <c r="AB468">
        <v>18</v>
      </c>
      <c r="AC468">
        <v>0</v>
      </c>
      <c r="AD468">
        <v>27</v>
      </c>
      <c r="AE468">
        <v>16</v>
      </c>
      <c r="AF468">
        <v>78</v>
      </c>
      <c r="AG468">
        <v>83</v>
      </c>
      <c r="AH468">
        <v>72</v>
      </c>
      <c r="AI468">
        <v>14</v>
      </c>
      <c r="AJ468">
        <v>1</v>
      </c>
      <c r="AK468">
        <v>39</v>
      </c>
      <c r="AL468">
        <v>-1</v>
      </c>
      <c r="AM468">
        <v>-1</v>
      </c>
      <c r="AN468">
        <v>0</v>
      </c>
      <c r="AO468">
        <v>0</v>
      </c>
      <c r="AP468">
        <v>0</v>
      </c>
      <c r="AQ468">
        <v>0</v>
      </c>
      <c r="AR468">
        <f t="shared" si="1499"/>
        <v>0</v>
      </c>
      <c r="AS468">
        <f>IF(AND(IFERROR(VLOOKUP(AJ468,Equip!$A:$N,13,FALSE),0)&gt;=5,IFERROR(VLOOKUP(AJ468,Equip!$A:$N,13,FALSE),0)&lt;=9),INT(VLOOKUP(AJ468,Equip!$A:$N,6,FALSE)*SQRT(AN468)),0)</f>
        <v>0</v>
      </c>
      <c r="AT468">
        <f>IF(AND(IFERROR(VLOOKUP(AK468,Equip!$A:$N,13,FALSE),0)&gt;=5,IFERROR(VLOOKUP(AK468,Equip!$A:$N,13,FALSE),0)&lt;=9),INT(VLOOKUP(AK468,Equip!$A:$N,6,FALSE)*SQRT(AO468)),0)</f>
        <v>0</v>
      </c>
      <c r="AU468">
        <f>IF(AND(IFERROR(VLOOKUP(AL468,Equip!$A:$N,13,FALSE),0)&gt;=5,IFERROR(VLOOKUP(AL468,Equip!$A:$N,13,FALSE),0)&lt;=9),INT(VLOOKUP(AL468,Equip!$A:$N,6,FALSE)*SQRT(AP468)),0)</f>
        <v>0</v>
      </c>
      <c r="AV468">
        <f>IF(AND(IFERROR(VLOOKUP(AM468,Equip!$A:$N,13,FALSE),0)&gt;=5,IFERROR(VLOOKUP(AM468,Equip!$A:$N,13,FALSE),0)&lt;=9),INT(VLOOKUP(AM468,Equip!$A:$N,6,FALSE)*SQRT(AQ468)),0)</f>
        <v>0</v>
      </c>
      <c r="AW468">
        <f t="shared" si="1500"/>
        <v>0</v>
      </c>
      <c r="AX468">
        <f t="shared" si="1501"/>
        <v>239</v>
      </c>
      <c r="AY468" s="4" t="s">
        <v>1393</v>
      </c>
    </row>
    <row r="469" spans="1:51" ht="14.25">
      <c r="A469">
        <v>334</v>
      </c>
      <c r="B469" t="s">
        <v>932</v>
      </c>
      <c r="C469" t="s">
        <v>932</v>
      </c>
      <c r="D469">
        <v>1</v>
      </c>
      <c r="E469">
        <f>E468</f>
        <v>1106</v>
      </c>
      <c r="F469">
        <f t="shared" ref="F469" si="1552">F468</f>
        <v>689</v>
      </c>
      <c r="G469">
        <f t="shared" ref="G469" si="1553">G468</f>
        <v>334</v>
      </c>
      <c r="H469">
        <f t="shared" ref="H469" si="1554">H468</f>
        <v>0</v>
      </c>
      <c r="I469">
        <f t="shared" ref="I469" si="1555">I468</f>
        <v>1</v>
      </c>
      <c r="J469">
        <f t="shared" ref="J469" si="1556">J468</f>
        <v>4</v>
      </c>
      <c r="K469">
        <v>1</v>
      </c>
      <c r="L469">
        <v>1</v>
      </c>
      <c r="M469">
        <v>17</v>
      </c>
      <c r="N469">
        <v>17</v>
      </c>
      <c r="O469">
        <v>15</v>
      </c>
      <c r="P469">
        <v>11</v>
      </c>
      <c r="Q469">
        <v>0</v>
      </c>
      <c r="R469">
        <v>69</v>
      </c>
      <c r="S469">
        <v>19</v>
      </c>
      <c r="T469">
        <v>37</v>
      </c>
      <c r="U469">
        <f t="shared" ref="U469" si="1557">U468</f>
        <v>5</v>
      </c>
      <c r="V469">
        <v>13</v>
      </c>
      <c r="W469">
        <f t="shared" ref="W469" si="1558">W468</f>
        <v>1</v>
      </c>
      <c r="X469">
        <v>40</v>
      </c>
      <c r="Y469">
        <f t="shared" ref="Y469" si="1559">Y468</f>
        <v>0</v>
      </c>
      <c r="Z469">
        <v>10</v>
      </c>
      <c r="AA469">
        <v>10</v>
      </c>
      <c r="AB469">
        <v>37</v>
      </c>
      <c r="AC469">
        <v>0</v>
      </c>
      <c r="AD469">
        <v>54</v>
      </c>
      <c r="AE469">
        <v>33</v>
      </c>
      <c r="AF469">
        <v>88</v>
      </c>
      <c r="AG469">
        <v>92</v>
      </c>
      <c r="AH469">
        <v>79</v>
      </c>
      <c r="AI469">
        <v>28</v>
      </c>
      <c r="AJ469">
        <v>229</v>
      </c>
      <c r="AK469">
        <v>226</v>
      </c>
      <c r="AL469">
        <v>39</v>
      </c>
      <c r="AM469">
        <v>-1</v>
      </c>
      <c r="AN469">
        <v>0</v>
      </c>
      <c r="AO469">
        <v>0</v>
      </c>
      <c r="AP469">
        <v>0</v>
      </c>
      <c r="AQ469">
        <v>0</v>
      </c>
      <c r="AR469">
        <f t="shared" si="1499"/>
        <v>0</v>
      </c>
      <c r="AS469">
        <f>IF(AND(IFERROR(VLOOKUP(AJ469,Equip!$A:$N,13,FALSE),0)&gt;=5,IFERROR(VLOOKUP(AJ469,Equip!$A:$N,13,FALSE),0)&lt;=9),INT(VLOOKUP(AJ469,Equip!$A:$N,6,FALSE)*SQRT(AN469)),0)</f>
        <v>0</v>
      </c>
      <c r="AT469">
        <f>IF(AND(IFERROR(VLOOKUP(AK469,Equip!$A:$N,13,FALSE),0)&gt;=5,IFERROR(VLOOKUP(AK469,Equip!$A:$N,13,FALSE),0)&lt;=9),INT(VLOOKUP(AK469,Equip!$A:$N,6,FALSE)*SQRT(AO469)),0)</f>
        <v>0</v>
      </c>
      <c r="AU469">
        <f>IF(AND(IFERROR(VLOOKUP(AL469,Equip!$A:$N,13,FALSE),0)&gt;=5,IFERROR(VLOOKUP(AL469,Equip!$A:$N,13,FALSE),0)&lt;=9),INT(VLOOKUP(AL469,Equip!$A:$N,6,FALSE)*SQRT(AP469)),0)</f>
        <v>0</v>
      </c>
      <c r="AV469">
        <f>IF(AND(IFERROR(VLOOKUP(AM469,Equip!$A:$N,13,FALSE),0)&gt;=5,IFERROR(VLOOKUP(AM469,Equip!$A:$N,13,FALSE),0)&lt;=9),INT(VLOOKUP(AM469,Equip!$A:$N,6,FALSE)*SQRT(AQ469)),0)</f>
        <v>0</v>
      </c>
      <c r="AW469">
        <f t="shared" si="1500"/>
        <v>0</v>
      </c>
      <c r="AX469">
        <f t="shared" si="1501"/>
        <v>340</v>
      </c>
      <c r="AY469" s="4" t="s">
        <v>1393</v>
      </c>
    </row>
    <row r="472" spans="1:51">
      <c r="A472">
        <v>501</v>
      </c>
      <c r="B472" t="s">
        <v>933</v>
      </c>
      <c r="C472" t="s">
        <v>933</v>
      </c>
      <c r="D472">
        <v>0</v>
      </c>
      <c r="E472">
        <v>0</v>
      </c>
      <c r="F472">
        <v>0</v>
      </c>
      <c r="G472">
        <v>501</v>
      </c>
      <c r="H472">
        <v>0</v>
      </c>
      <c r="I472">
        <v>0</v>
      </c>
      <c r="J472">
        <v>0</v>
      </c>
      <c r="K472">
        <v>1</v>
      </c>
      <c r="L472">
        <v>1</v>
      </c>
      <c r="M472">
        <v>20</v>
      </c>
      <c r="N472">
        <v>20</v>
      </c>
      <c r="O472">
        <v>5</v>
      </c>
      <c r="P472">
        <v>5</v>
      </c>
      <c r="Q472">
        <v>15</v>
      </c>
      <c r="R472">
        <v>14</v>
      </c>
      <c r="S472">
        <v>6</v>
      </c>
      <c r="T472">
        <v>25</v>
      </c>
      <c r="U472">
        <v>10</v>
      </c>
      <c r="V472">
        <v>3</v>
      </c>
      <c r="W472">
        <v>1</v>
      </c>
      <c r="X472">
        <v>1</v>
      </c>
      <c r="Y472">
        <v>0</v>
      </c>
      <c r="Z472">
        <v>0</v>
      </c>
      <c r="AA472">
        <v>0</v>
      </c>
      <c r="AB472">
        <v>5</v>
      </c>
      <c r="AC472">
        <v>15</v>
      </c>
      <c r="AD472">
        <v>6</v>
      </c>
      <c r="AE472">
        <v>5</v>
      </c>
      <c r="AF472">
        <v>1</v>
      </c>
      <c r="AG472">
        <v>14</v>
      </c>
      <c r="AH472">
        <v>25</v>
      </c>
      <c r="AI472">
        <v>3</v>
      </c>
      <c r="AJ472">
        <v>501</v>
      </c>
      <c r="AK472">
        <v>0</v>
      </c>
      <c r="AL472">
        <v>-1</v>
      </c>
      <c r="AM472">
        <v>-1</v>
      </c>
      <c r="AN472">
        <v>0</v>
      </c>
      <c r="AO472">
        <v>0</v>
      </c>
      <c r="AP472">
        <v>0</v>
      </c>
      <c r="AQ472">
        <v>0</v>
      </c>
      <c r="AR472">
        <f t="shared" si="1499"/>
        <v>0</v>
      </c>
      <c r="AS472">
        <f>IF(AND(IFERROR(VLOOKUP(AJ472,Equip!$A:$N,13,FALSE),0)&gt;=5,IFERROR(VLOOKUP(AJ472,Equip!$A:$N,13,FALSE),0)&lt;=9),INT(VLOOKUP(AJ472,Equip!$A:$N,6,FALSE)*SQRT(AN472)),0)</f>
        <v>0</v>
      </c>
      <c r="AT472">
        <f>IF(AND(IFERROR(VLOOKUP(AK472,Equip!$A:$N,13,FALSE),0)&gt;=5,IFERROR(VLOOKUP(AK472,Equip!$A:$N,13,FALSE),0)&lt;=9),INT(VLOOKUP(AK472,Equip!$A:$N,6,FALSE)*SQRT(AO472)),0)</f>
        <v>0</v>
      </c>
      <c r="AU472">
        <f>IF(AND(IFERROR(VLOOKUP(AL472,Equip!$A:$N,13,FALSE),0)&gt;=5,IFERROR(VLOOKUP(AL472,Equip!$A:$N,13,FALSE),0)&lt;=9),INT(VLOOKUP(AL472,Equip!$A:$N,6,FALSE)*SQRT(AP472)),0)</f>
        <v>0</v>
      </c>
      <c r="AV472">
        <f>IF(AND(IFERROR(VLOOKUP(AM472,Equip!$A:$N,13,FALSE),0)&gt;=5,IFERROR(VLOOKUP(AM472,Equip!$A:$N,13,FALSE),0)&lt;=9),INT(VLOOKUP(AM472,Equip!$A:$N,6,FALSE)*SQRT(AQ472)),0)</f>
        <v>0</v>
      </c>
      <c r="AW472">
        <f t="shared" si="1500"/>
        <v>0</v>
      </c>
      <c r="AX472">
        <f t="shared" si="1501"/>
        <v>93</v>
      </c>
    </row>
    <row r="473" spans="1:51">
      <c r="A473">
        <v>502</v>
      </c>
      <c r="B473" t="s">
        <v>934</v>
      </c>
      <c r="C473" t="s">
        <v>934</v>
      </c>
      <c r="D473">
        <v>0</v>
      </c>
      <c r="E473">
        <v>0</v>
      </c>
      <c r="F473">
        <v>0</v>
      </c>
      <c r="G473">
        <v>502</v>
      </c>
      <c r="H473">
        <v>0</v>
      </c>
      <c r="I473">
        <v>0</v>
      </c>
      <c r="J473">
        <v>0</v>
      </c>
      <c r="K473">
        <v>1</v>
      </c>
      <c r="L473">
        <v>1</v>
      </c>
      <c r="M473">
        <v>22</v>
      </c>
      <c r="N473">
        <v>22</v>
      </c>
      <c r="O473">
        <v>7</v>
      </c>
      <c r="P473">
        <v>6</v>
      </c>
      <c r="Q473">
        <v>16</v>
      </c>
      <c r="R473">
        <v>15</v>
      </c>
      <c r="S473">
        <v>7</v>
      </c>
      <c r="T473">
        <v>25</v>
      </c>
      <c r="U473">
        <v>10</v>
      </c>
      <c r="V473">
        <v>3</v>
      </c>
      <c r="W473">
        <v>1</v>
      </c>
      <c r="X473">
        <v>1</v>
      </c>
      <c r="Y473">
        <v>0</v>
      </c>
      <c r="Z473">
        <v>0</v>
      </c>
      <c r="AA473">
        <v>0</v>
      </c>
      <c r="AB473">
        <v>7</v>
      </c>
      <c r="AC473">
        <v>16</v>
      </c>
      <c r="AD473">
        <v>7</v>
      </c>
      <c r="AE473">
        <v>6</v>
      </c>
      <c r="AF473">
        <v>1</v>
      </c>
      <c r="AG473">
        <v>15</v>
      </c>
      <c r="AH473">
        <v>25</v>
      </c>
      <c r="AI473">
        <v>3</v>
      </c>
      <c r="AJ473">
        <v>502</v>
      </c>
      <c r="AK473">
        <v>0</v>
      </c>
      <c r="AL473">
        <v>-1</v>
      </c>
      <c r="AM473">
        <v>-1</v>
      </c>
      <c r="AN473">
        <v>0</v>
      </c>
      <c r="AO473">
        <v>0</v>
      </c>
      <c r="AP473">
        <v>0</v>
      </c>
      <c r="AQ473">
        <v>0</v>
      </c>
      <c r="AR473">
        <f t="shared" si="1499"/>
        <v>0</v>
      </c>
      <c r="AS473">
        <f>IF(AND(IFERROR(VLOOKUP(AJ473,Equip!$A:$N,13,FALSE),0)&gt;=5,IFERROR(VLOOKUP(AJ473,Equip!$A:$N,13,FALSE),0)&lt;=9),INT(VLOOKUP(AJ473,Equip!$A:$N,6,FALSE)*SQRT(AN473)),0)</f>
        <v>0</v>
      </c>
      <c r="AT473">
        <f>IF(AND(IFERROR(VLOOKUP(AK473,Equip!$A:$N,13,FALSE),0)&gt;=5,IFERROR(VLOOKUP(AK473,Equip!$A:$N,13,FALSE),0)&lt;=9),INT(VLOOKUP(AK473,Equip!$A:$N,6,FALSE)*SQRT(AO473)),0)</f>
        <v>0</v>
      </c>
      <c r="AU473">
        <f>IF(AND(IFERROR(VLOOKUP(AL473,Equip!$A:$N,13,FALSE),0)&gt;=5,IFERROR(VLOOKUP(AL473,Equip!$A:$N,13,FALSE),0)&lt;=9),INT(VLOOKUP(AL473,Equip!$A:$N,6,FALSE)*SQRT(AP473)),0)</f>
        <v>0</v>
      </c>
      <c r="AV473">
        <f>IF(AND(IFERROR(VLOOKUP(AM473,Equip!$A:$N,13,FALSE),0)&gt;=5,IFERROR(VLOOKUP(AM473,Equip!$A:$N,13,FALSE),0)&lt;=9),INT(VLOOKUP(AM473,Equip!$A:$N,6,FALSE)*SQRT(AQ473)),0)</f>
        <v>0</v>
      </c>
      <c r="AW473">
        <f t="shared" si="1500"/>
        <v>0</v>
      </c>
      <c r="AX473">
        <f t="shared" si="1501"/>
        <v>101</v>
      </c>
    </row>
    <row r="474" spans="1:51">
      <c r="A474">
        <v>503</v>
      </c>
      <c r="B474" t="s">
        <v>935</v>
      </c>
      <c r="C474" t="s">
        <v>935</v>
      </c>
      <c r="D474">
        <v>0</v>
      </c>
      <c r="E474">
        <v>0</v>
      </c>
      <c r="F474">
        <v>0</v>
      </c>
      <c r="G474">
        <v>503</v>
      </c>
      <c r="H474">
        <v>0</v>
      </c>
      <c r="I474">
        <v>0</v>
      </c>
      <c r="J474">
        <v>0</v>
      </c>
      <c r="K474">
        <v>1</v>
      </c>
      <c r="L474">
        <v>1</v>
      </c>
      <c r="M474">
        <v>24</v>
      </c>
      <c r="N474">
        <v>24</v>
      </c>
      <c r="O474">
        <v>6</v>
      </c>
      <c r="P474">
        <v>7</v>
      </c>
      <c r="Q474">
        <v>16</v>
      </c>
      <c r="R474">
        <v>16</v>
      </c>
      <c r="S474">
        <v>6</v>
      </c>
      <c r="T474">
        <v>30</v>
      </c>
      <c r="U474">
        <v>10</v>
      </c>
      <c r="V474">
        <v>4</v>
      </c>
      <c r="W474">
        <v>1</v>
      </c>
      <c r="X474">
        <v>1</v>
      </c>
      <c r="Y474">
        <v>0</v>
      </c>
      <c r="Z474">
        <v>0</v>
      </c>
      <c r="AA474">
        <v>0</v>
      </c>
      <c r="AB474">
        <v>6</v>
      </c>
      <c r="AC474">
        <v>16</v>
      </c>
      <c r="AD474">
        <v>6</v>
      </c>
      <c r="AE474">
        <v>7</v>
      </c>
      <c r="AF474">
        <v>1</v>
      </c>
      <c r="AG474">
        <v>16</v>
      </c>
      <c r="AH474">
        <v>30</v>
      </c>
      <c r="AI474">
        <v>4</v>
      </c>
      <c r="AJ474">
        <v>502</v>
      </c>
      <c r="AK474">
        <v>513</v>
      </c>
      <c r="AL474">
        <v>-1</v>
      </c>
      <c r="AM474">
        <v>-1</v>
      </c>
      <c r="AN474">
        <v>0</v>
      </c>
      <c r="AO474">
        <v>0</v>
      </c>
      <c r="AP474">
        <v>0</v>
      </c>
      <c r="AQ474">
        <v>0</v>
      </c>
      <c r="AR474">
        <f t="shared" si="1499"/>
        <v>0</v>
      </c>
      <c r="AS474">
        <f>IF(AND(IFERROR(VLOOKUP(AJ474,Equip!$A:$N,13,FALSE),0)&gt;=5,IFERROR(VLOOKUP(AJ474,Equip!$A:$N,13,FALSE),0)&lt;=9),INT(VLOOKUP(AJ474,Equip!$A:$N,6,FALSE)*SQRT(AN474)),0)</f>
        <v>0</v>
      </c>
      <c r="AT474">
        <f>IF(AND(IFERROR(VLOOKUP(AK474,Equip!$A:$N,13,FALSE),0)&gt;=5,IFERROR(VLOOKUP(AK474,Equip!$A:$N,13,FALSE),0)&lt;=9),INT(VLOOKUP(AK474,Equip!$A:$N,6,FALSE)*SQRT(AO474)),0)</f>
        <v>0</v>
      </c>
      <c r="AU474">
        <f>IF(AND(IFERROR(VLOOKUP(AL474,Equip!$A:$N,13,FALSE),0)&gt;=5,IFERROR(VLOOKUP(AL474,Equip!$A:$N,13,FALSE),0)&lt;=9),INT(VLOOKUP(AL474,Equip!$A:$N,6,FALSE)*SQRT(AP474)),0)</f>
        <v>0</v>
      </c>
      <c r="AV474">
        <f>IF(AND(IFERROR(VLOOKUP(AM474,Equip!$A:$N,13,FALSE),0)&gt;=5,IFERROR(VLOOKUP(AM474,Equip!$A:$N,13,FALSE),0)&lt;=9),INT(VLOOKUP(AM474,Equip!$A:$N,6,FALSE)*SQRT(AQ474)),0)</f>
        <v>0</v>
      </c>
      <c r="AW474">
        <f t="shared" si="1500"/>
        <v>0</v>
      </c>
      <c r="AX474">
        <f t="shared" si="1501"/>
        <v>109</v>
      </c>
    </row>
    <row r="475" spans="1:51">
      <c r="A475">
        <v>504</v>
      </c>
      <c r="B475" t="s">
        <v>936</v>
      </c>
      <c r="C475" t="s">
        <v>936</v>
      </c>
      <c r="D475">
        <v>0</v>
      </c>
      <c r="E475">
        <v>0</v>
      </c>
      <c r="F475">
        <v>0</v>
      </c>
      <c r="G475">
        <v>504</v>
      </c>
      <c r="H475">
        <v>0</v>
      </c>
      <c r="I475">
        <v>0</v>
      </c>
      <c r="J475">
        <v>0</v>
      </c>
      <c r="K475">
        <v>1</v>
      </c>
      <c r="L475">
        <v>1</v>
      </c>
      <c r="M475">
        <v>28</v>
      </c>
      <c r="N475">
        <v>28</v>
      </c>
      <c r="O475">
        <v>8</v>
      </c>
      <c r="P475">
        <v>9</v>
      </c>
      <c r="Q475">
        <v>24</v>
      </c>
      <c r="R475">
        <v>18</v>
      </c>
      <c r="S475">
        <v>8</v>
      </c>
      <c r="T475">
        <v>35</v>
      </c>
      <c r="U475">
        <v>10</v>
      </c>
      <c r="V475">
        <v>4</v>
      </c>
      <c r="W475">
        <v>1</v>
      </c>
      <c r="X475">
        <v>5</v>
      </c>
      <c r="Y475">
        <v>0</v>
      </c>
      <c r="Z475">
        <v>0</v>
      </c>
      <c r="AA475">
        <v>0</v>
      </c>
      <c r="AB475">
        <v>8</v>
      </c>
      <c r="AC475">
        <v>24</v>
      </c>
      <c r="AD475">
        <v>8</v>
      </c>
      <c r="AE475">
        <v>9</v>
      </c>
      <c r="AF475">
        <v>5</v>
      </c>
      <c r="AG475">
        <v>18</v>
      </c>
      <c r="AH475">
        <v>35</v>
      </c>
      <c r="AI475">
        <v>4</v>
      </c>
      <c r="AJ475">
        <v>502</v>
      </c>
      <c r="AK475">
        <v>513</v>
      </c>
      <c r="AL475">
        <v>-1</v>
      </c>
      <c r="AM475">
        <v>-1</v>
      </c>
      <c r="AN475">
        <v>0</v>
      </c>
      <c r="AO475">
        <v>0</v>
      </c>
      <c r="AP475">
        <v>0</v>
      </c>
      <c r="AQ475">
        <v>0</v>
      </c>
      <c r="AR475">
        <f t="shared" si="1499"/>
        <v>0</v>
      </c>
      <c r="AS475">
        <f>IF(AND(IFERROR(VLOOKUP(AJ475,Equip!$A:$N,13,FALSE),0)&gt;=5,IFERROR(VLOOKUP(AJ475,Equip!$A:$N,13,FALSE),0)&lt;=9),INT(VLOOKUP(AJ475,Equip!$A:$N,6,FALSE)*SQRT(AN475)),0)</f>
        <v>0</v>
      </c>
      <c r="AT475">
        <f>IF(AND(IFERROR(VLOOKUP(AK475,Equip!$A:$N,13,FALSE),0)&gt;=5,IFERROR(VLOOKUP(AK475,Equip!$A:$N,13,FALSE),0)&lt;=9),INT(VLOOKUP(AK475,Equip!$A:$N,6,FALSE)*SQRT(AO475)),0)</f>
        <v>0</v>
      </c>
      <c r="AU475">
        <f>IF(AND(IFERROR(VLOOKUP(AL475,Equip!$A:$N,13,FALSE),0)&gt;=5,IFERROR(VLOOKUP(AL475,Equip!$A:$N,13,FALSE),0)&lt;=9),INT(VLOOKUP(AL475,Equip!$A:$N,6,FALSE)*SQRT(AP475)),0)</f>
        <v>0</v>
      </c>
      <c r="AV475">
        <f>IF(AND(IFERROR(VLOOKUP(AM475,Equip!$A:$N,13,FALSE),0)&gt;=5,IFERROR(VLOOKUP(AM475,Equip!$A:$N,13,FALSE),0)&lt;=9),INT(VLOOKUP(AM475,Equip!$A:$N,6,FALSE)*SQRT(AQ475)),0)</f>
        <v>0</v>
      </c>
      <c r="AW475">
        <f t="shared" si="1500"/>
        <v>0</v>
      </c>
      <c r="AX475">
        <f t="shared" si="1501"/>
        <v>134</v>
      </c>
    </row>
    <row r="476" spans="1:51">
      <c r="A476">
        <v>505</v>
      </c>
      <c r="B476" t="s">
        <v>937</v>
      </c>
      <c r="C476" t="s">
        <v>937</v>
      </c>
      <c r="D476">
        <v>0</v>
      </c>
      <c r="E476">
        <v>0</v>
      </c>
      <c r="F476">
        <v>0</v>
      </c>
      <c r="G476">
        <v>505</v>
      </c>
      <c r="H476">
        <v>0</v>
      </c>
      <c r="I476">
        <v>0</v>
      </c>
      <c r="J476">
        <v>0</v>
      </c>
      <c r="K476">
        <v>2</v>
      </c>
      <c r="L476">
        <v>2</v>
      </c>
      <c r="M476">
        <v>33</v>
      </c>
      <c r="N476">
        <v>33</v>
      </c>
      <c r="O476">
        <v>14</v>
      </c>
      <c r="P476">
        <v>15</v>
      </c>
      <c r="Q476">
        <v>24</v>
      </c>
      <c r="R476">
        <v>15</v>
      </c>
      <c r="S476">
        <v>10</v>
      </c>
      <c r="T476">
        <v>30</v>
      </c>
      <c r="U476">
        <v>10</v>
      </c>
      <c r="V476">
        <v>6</v>
      </c>
      <c r="W476">
        <v>2</v>
      </c>
      <c r="X476">
        <v>1</v>
      </c>
      <c r="Y476">
        <v>0</v>
      </c>
      <c r="Z476">
        <v>0</v>
      </c>
      <c r="AA476">
        <v>0</v>
      </c>
      <c r="AB476">
        <v>14</v>
      </c>
      <c r="AC476">
        <v>24</v>
      </c>
      <c r="AD476">
        <v>10</v>
      </c>
      <c r="AE476">
        <v>15</v>
      </c>
      <c r="AF476">
        <v>1</v>
      </c>
      <c r="AG476">
        <v>15</v>
      </c>
      <c r="AH476">
        <v>30</v>
      </c>
      <c r="AI476">
        <v>6</v>
      </c>
      <c r="AJ476">
        <v>504</v>
      </c>
      <c r="AK476">
        <v>525</v>
      </c>
      <c r="AL476">
        <v>-1</v>
      </c>
      <c r="AM476">
        <v>-1</v>
      </c>
      <c r="AN476">
        <v>1</v>
      </c>
      <c r="AO476">
        <v>1</v>
      </c>
      <c r="AP476">
        <v>0</v>
      </c>
      <c r="AQ476">
        <v>0</v>
      </c>
      <c r="AR476">
        <f t="shared" si="1499"/>
        <v>2</v>
      </c>
      <c r="AS476">
        <f>IF(AND(IFERROR(VLOOKUP(AJ476,Equip!$A:$N,13,FALSE),0)&gt;=5,IFERROR(VLOOKUP(AJ476,Equip!$A:$N,13,FALSE),0)&lt;=9),INT(VLOOKUP(AJ476,Equip!$A:$N,6,FALSE)*SQRT(AN476)),0)</f>
        <v>0</v>
      </c>
      <c r="AT476">
        <f>IF(AND(IFERROR(VLOOKUP(AK476,Equip!$A:$N,13,FALSE),0)&gt;=5,IFERROR(VLOOKUP(AK476,Equip!$A:$N,13,FALSE),0)&lt;=9),INT(VLOOKUP(AK476,Equip!$A:$N,6,FALSE)*SQRT(AO476)),0)</f>
        <v>0</v>
      </c>
      <c r="AU476">
        <f>IF(AND(IFERROR(VLOOKUP(AL476,Equip!$A:$N,13,FALSE),0)&gt;=5,IFERROR(VLOOKUP(AL476,Equip!$A:$N,13,FALSE),0)&lt;=9),INT(VLOOKUP(AL476,Equip!$A:$N,6,FALSE)*SQRT(AP476)),0)</f>
        <v>0</v>
      </c>
      <c r="AV476">
        <f>IF(AND(IFERROR(VLOOKUP(AM476,Equip!$A:$N,13,FALSE),0)&gt;=5,IFERROR(VLOOKUP(AM476,Equip!$A:$N,13,FALSE),0)&lt;=9),INT(VLOOKUP(AM476,Equip!$A:$N,6,FALSE)*SQRT(AQ476)),0)</f>
        <v>0</v>
      </c>
      <c r="AW476">
        <f t="shared" si="1500"/>
        <v>0</v>
      </c>
      <c r="AX476">
        <f t="shared" si="1501"/>
        <v>147</v>
      </c>
    </row>
    <row r="477" spans="1:51">
      <c r="A477">
        <v>506</v>
      </c>
      <c r="B477" t="s">
        <v>938</v>
      </c>
      <c r="C477" t="s">
        <v>938</v>
      </c>
      <c r="D477">
        <v>0</v>
      </c>
      <c r="E477">
        <v>0</v>
      </c>
      <c r="F477">
        <v>0</v>
      </c>
      <c r="G477">
        <v>506</v>
      </c>
      <c r="H477">
        <v>0</v>
      </c>
      <c r="I477">
        <v>0</v>
      </c>
      <c r="J477">
        <v>0</v>
      </c>
      <c r="K477">
        <v>2</v>
      </c>
      <c r="L477">
        <v>2</v>
      </c>
      <c r="M477">
        <v>36</v>
      </c>
      <c r="N477">
        <v>36</v>
      </c>
      <c r="O477">
        <v>16</v>
      </c>
      <c r="P477">
        <v>18</v>
      </c>
      <c r="Q477">
        <v>28</v>
      </c>
      <c r="R477">
        <v>15</v>
      </c>
      <c r="S477">
        <v>12</v>
      </c>
      <c r="T477">
        <v>40</v>
      </c>
      <c r="U477">
        <v>10</v>
      </c>
      <c r="V477">
        <v>6</v>
      </c>
      <c r="W477">
        <v>2</v>
      </c>
      <c r="X477">
        <v>1</v>
      </c>
      <c r="Y477">
        <v>0</v>
      </c>
      <c r="Z477">
        <v>0</v>
      </c>
      <c r="AA477">
        <v>0</v>
      </c>
      <c r="AB477">
        <v>16</v>
      </c>
      <c r="AC477">
        <v>28</v>
      </c>
      <c r="AD477">
        <v>12</v>
      </c>
      <c r="AE477">
        <v>18</v>
      </c>
      <c r="AF477">
        <v>1</v>
      </c>
      <c r="AG477">
        <v>15</v>
      </c>
      <c r="AH477">
        <v>40</v>
      </c>
      <c r="AI477">
        <v>6</v>
      </c>
      <c r="AJ477">
        <v>506</v>
      </c>
      <c r="AK477">
        <v>525</v>
      </c>
      <c r="AL477">
        <v>-1</v>
      </c>
      <c r="AM477">
        <v>-1</v>
      </c>
      <c r="AN477">
        <v>1</v>
      </c>
      <c r="AO477">
        <v>1</v>
      </c>
      <c r="AP477">
        <v>0</v>
      </c>
      <c r="AQ477">
        <v>0</v>
      </c>
      <c r="AR477">
        <f t="shared" si="1499"/>
        <v>2</v>
      </c>
      <c r="AS477">
        <f>IF(AND(IFERROR(VLOOKUP(AJ477,Equip!$A:$N,13,FALSE),0)&gt;=5,IFERROR(VLOOKUP(AJ477,Equip!$A:$N,13,FALSE),0)&lt;=9),INT(VLOOKUP(AJ477,Equip!$A:$N,6,FALSE)*SQRT(AN477)),0)</f>
        <v>0</v>
      </c>
      <c r="AT477">
        <f>IF(AND(IFERROR(VLOOKUP(AK477,Equip!$A:$N,13,FALSE),0)&gt;=5,IFERROR(VLOOKUP(AK477,Equip!$A:$N,13,FALSE),0)&lt;=9),INT(VLOOKUP(AK477,Equip!$A:$N,6,FALSE)*SQRT(AO477)),0)</f>
        <v>0</v>
      </c>
      <c r="AU477">
        <f>IF(AND(IFERROR(VLOOKUP(AL477,Equip!$A:$N,13,FALSE),0)&gt;=5,IFERROR(VLOOKUP(AL477,Equip!$A:$N,13,FALSE),0)&lt;=9),INT(VLOOKUP(AL477,Equip!$A:$N,6,FALSE)*SQRT(AP477)),0)</f>
        <v>0</v>
      </c>
      <c r="AV477">
        <f>IF(AND(IFERROR(VLOOKUP(AM477,Equip!$A:$N,13,FALSE),0)&gt;=5,IFERROR(VLOOKUP(AM477,Equip!$A:$N,13,FALSE),0)&lt;=9),INT(VLOOKUP(AM477,Equip!$A:$N,6,FALSE)*SQRT(AQ477)),0)</f>
        <v>0</v>
      </c>
      <c r="AW477">
        <f t="shared" si="1500"/>
        <v>0</v>
      </c>
      <c r="AX477">
        <f t="shared" si="1501"/>
        <v>171</v>
      </c>
    </row>
    <row r="478" spans="1:51">
      <c r="A478">
        <v>507</v>
      </c>
      <c r="B478" t="s">
        <v>939</v>
      </c>
      <c r="C478" t="s">
        <v>939</v>
      </c>
      <c r="D478">
        <v>0</v>
      </c>
      <c r="E478">
        <v>0</v>
      </c>
      <c r="F478">
        <v>0</v>
      </c>
      <c r="G478">
        <v>507</v>
      </c>
      <c r="H478">
        <v>0</v>
      </c>
      <c r="I478">
        <v>0</v>
      </c>
      <c r="J478">
        <v>0</v>
      </c>
      <c r="K478">
        <v>2</v>
      </c>
      <c r="L478">
        <v>2</v>
      </c>
      <c r="M478">
        <v>39</v>
      </c>
      <c r="N478">
        <v>39</v>
      </c>
      <c r="O478">
        <v>24</v>
      </c>
      <c r="P478">
        <v>20</v>
      </c>
      <c r="Q478">
        <v>28</v>
      </c>
      <c r="R478">
        <v>15</v>
      </c>
      <c r="S478">
        <v>12</v>
      </c>
      <c r="T478">
        <v>50</v>
      </c>
      <c r="U478">
        <v>10</v>
      </c>
      <c r="V478">
        <v>6</v>
      </c>
      <c r="W478">
        <v>2</v>
      </c>
      <c r="X478">
        <v>5</v>
      </c>
      <c r="Y478">
        <v>0</v>
      </c>
      <c r="Z478">
        <v>0</v>
      </c>
      <c r="AA478">
        <v>0</v>
      </c>
      <c r="AB478">
        <v>24</v>
      </c>
      <c r="AC478">
        <v>28</v>
      </c>
      <c r="AD478">
        <v>12</v>
      </c>
      <c r="AE478">
        <v>20</v>
      </c>
      <c r="AF478">
        <v>5</v>
      </c>
      <c r="AG478">
        <v>15</v>
      </c>
      <c r="AH478">
        <v>50</v>
      </c>
      <c r="AI478">
        <v>6</v>
      </c>
      <c r="AJ478">
        <v>506</v>
      </c>
      <c r="AK478">
        <v>513</v>
      </c>
      <c r="AL478">
        <v>525</v>
      </c>
      <c r="AM478">
        <v>-1</v>
      </c>
      <c r="AN478">
        <v>2</v>
      </c>
      <c r="AO478">
        <v>2</v>
      </c>
      <c r="AP478">
        <v>2</v>
      </c>
      <c r="AQ478">
        <v>0</v>
      </c>
      <c r="AR478">
        <f t="shared" si="1499"/>
        <v>6</v>
      </c>
      <c r="AS478">
        <f>IF(AND(IFERROR(VLOOKUP(AJ478,Equip!$A:$N,13,FALSE),0)&gt;=5,IFERROR(VLOOKUP(AJ478,Equip!$A:$N,13,FALSE),0)&lt;=9),INT(VLOOKUP(AJ478,Equip!$A:$N,6,FALSE)*SQRT(AN478)),0)</f>
        <v>0</v>
      </c>
      <c r="AT478">
        <f>IF(AND(IFERROR(VLOOKUP(AK478,Equip!$A:$N,13,FALSE),0)&gt;=5,IFERROR(VLOOKUP(AK478,Equip!$A:$N,13,FALSE),0)&lt;=9),INT(VLOOKUP(AK478,Equip!$A:$N,6,FALSE)*SQRT(AO478)),0)</f>
        <v>0</v>
      </c>
      <c r="AU478">
        <f>IF(AND(IFERROR(VLOOKUP(AL478,Equip!$A:$N,13,FALSE),0)&gt;=5,IFERROR(VLOOKUP(AL478,Equip!$A:$N,13,FALSE),0)&lt;=9),INT(VLOOKUP(AL478,Equip!$A:$N,6,FALSE)*SQRT(AP478)),0)</f>
        <v>0</v>
      </c>
      <c r="AV478">
        <f>IF(AND(IFERROR(VLOOKUP(AM478,Equip!$A:$N,13,FALSE),0)&gt;=5,IFERROR(VLOOKUP(AM478,Equip!$A:$N,13,FALSE),0)&lt;=9),INT(VLOOKUP(AM478,Equip!$A:$N,6,FALSE)*SQRT(AQ478)),0)</f>
        <v>0</v>
      </c>
      <c r="AW478">
        <f t="shared" si="1500"/>
        <v>0</v>
      </c>
      <c r="AX478">
        <f t="shared" si="1501"/>
        <v>194</v>
      </c>
    </row>
    <row r="479" spans="1:51">
      <c r="A479">
        <v>508</v>
      </c>
      <c r="B479" t="s">
        <v>940</v>
      </c>
      <c r="C479" t="s">
        <v>940</v>
      </c>
      <c r="D479">
        <v>0</v>
      </c>
      <c r="E479">
        <v>0</v>
      </c>
      <c r="F479">
        <v>0</v>
      </c>
      <c r="G479">
        <v>508</v>
      </c>
      <c r="H479">
        <v>0</v>
      </c>
      <c r="I479">
        <v>0</v>
      </c>
      <c r="J479">
        <v>0</v>
      </c>
      <c r="K479">
        <v>4</v>
      </c>
      <c r="L479">
        <v>2</v>
      </c>
      <c r="M479">
        <v>48</v>
      </c>
      <c r="N479">
        <v>48</v>
      </c>
      <c r="O479">
        <v>18</v>
      </c>
      <c r="P479">
        <v>22</v>
      </c>
      <c r="Q479">
        <v>48</v>
      </c>
      <c r="R479">
        <v>18</v>
      </c>
      <c r="S479">
        <v>10</v>
      </c>
      <c r="T479">
        <v>30</v>
      </c>
      <c r="U479">
        <v>10</v>
      </c>
      <c r="V479">
        <v>4</v>
      </c>
      <c r="W479">
        <v>2</v>
      </c>
      <c r="X479">
        <v>5</v>
      </c>
      <c r="Y479">
        <v>0</v>
      </c>
      <c r="Z479">
        <v>0</v>
      </c>
      <c r="AA479">
        <v>0</v>
      </c>
      <c r="AB479">
        <v>18</v>
      </c>
      <c r="AC479">
        <v>48</v>
      </c>
      <c r="AD479">
        <v>10</v>
      </c>
      <c r="AE479">
        <v>22</v>
      </c>
      <c r="AF479">
        <v>5</v>
      </c>
      <c r="AG479">
        <v>18</v>
      </c>
      <c r="AH479">
        <v>30</v>
      </c>
      <c r="AI479">
        <v>4</v>
      </c>
      <c r="AJ479">
        <v>504</v>
      </c>
      <c r="AK479">
        <v>513</v>
      </c>
      <c r="AL479">
        <v>513</v>
      </c>
      <c r="AM479">
        <v>-1</v>
      </c>
      <c r="AN479">
        <v>2</v>
      </c>
      <c r="AO479">
        <v>2</v>
      </c>
      <c r="AP479">
        <v>2</v>
      </c>
      <c r="AQ479">
        <v>0</v>
      </c>
      <c r="AR479">
        <f t="shared" si="1499"/>
        <v>6</v>
      </c>
      <c r="AS479">
        <f>IF(AND(IFERROR(VLOOKUP(AJ479,Equip!$A:$N,13,FALSE),0)&gt;=5,IFERROR(VLOOKUP(AJ479,Equip!$A:$N,13,FALSE),0)&lt;=9),INT(VLOOKUP(AJ479,Equip!$A:$N,6,FALSE)*SQRT(AN479)),0)</f>
        <v>0</v>
      </c>
      <c r="AT479">
        <f>IF(AND(IFERROR(VLOOKUP(AK479,Equip!$A:$N,13,FALSE),0)&gt;=5,IFERROR(VLOOKUP(AK479,Equip!$A:$N,13,FALSE),0)&lt;=9),INT(VLOOKUP(AK479,Equip!$A:$N,6,FALSE)*SQRT(AO479)),0)</f>
        <v>0</v>
      </c>
      <c r="AU479">
        <f>IF(AND(IFERROR(VLOOKUP(AL479,Equip!$A:$N,13,FALSE),0)&gt;=5,IFERROR(VLOOKUP(AL479,Equip!$A:$N,13,FALSE),0)&lt;=9),INT(VLOOKUP(AL479,Equip!$A:$N,6,FALSE)*SQRT(AP479)),0)</f>
        <v>0</v>
      </c>
      <c r="AV479">
        <f>IF(AND(IFERROR(VLOOKUP(AM479,Equip!$A:$N,13,FALSE),0)&gt;=5,IFERROR(VLOOKUP(AM479,Equip!$A:$N,13,FALSE),0)&lt;=9),INT(VLOOKUP(AM479,Equip!$A:$N,6,FALSE)*SQRT(AQ479)),0)</f>
        <v>0</v>
      </c>
      <c r="AW479">
        <f t="shared" si="1500"/>
        <v>0</v>
      </c>
      <c r="AX479">
        <f t="shared" si="1501"/>
        <v>198</v>
      </c>
    </row>
    <row r="480" spans="1:51">
      <c r="A480">
        <v>509</v>
      </c>
      <c r="B480" t="s">
        <v>941</v>
      </c>
      <c r="C480" t="s">
        <v>941</v>
      </c>
      <c r="D480">
        <v>0</v>
      </c>
      <c r="E480">
        <v>0</v>
      </c>
      <c r="F480">
        <v>0</v>
      </c>
      <c r="G480">
        <v>509</v>
      </c>
      <c r="H480">
        <v>0</v>
      </c>
      <c r="I480">
        <v>0</v>
      </c>
      <c r="J480">
        <v>0</v>
      </c>
      <c r="K480">
        <v>3</v>
      </c>
      <c r="L480">
        <v>4</v>
      </c>
      <c r="M480">
        <v>58</v>
      </c>
      <c r="N480">
        <v>58</v>
      </c>
      <c r="O480">
        <v>32</v>
      </c>
      <c r="P480">
        <v>28</v>
      </c>
      <c r="Q480">
        <v>32</v>
      </c>
      <c r="R480">
        <v>12</v>
      </c>
      <c r="S480">
        <v>16</v>
      </c>
      <c r="T480">
        <v>0</v>
      </c>
      <c r="U480">
        <v>10</v>
      </c>
      <c r="V480">
        <v>10</v>
      </c>
      <c r="W480">
        <v>2</v>
      </c>
      <c r="X480">
        <v>1</v>
      </c>
      <c r="Y480">
        <v>0</v>
      </c>
      <c r="Z480">
        <v>0</v>
      </c>
      <c r="AA480">
        <v>0</v>
      </c>
      <c r="AB480">
        <v>32</v>
      </c>
      <c r="AC480">
        <v>32</v>
      </c>
      <c r="AD480">
        <v>16</v>
      </c>
      <c r="AE480">
        <v>28</v>
      </c>
      <c r="AF480">
        <v>1</v>
      </c>
      <c r="AG480">
        <v>12</v>
      </c>
      <c r="AH480">
        <v>0</v>
      </c>
      <c r="AI480">
        <v>10</v>
      </c>
      <c r="AJ480">
        <v>505</v>
      </c>
      <c r="AK480">
        <v>513</v>
      </c>
      <c r="AL480">
        <v>525</v>
      </c>
      <c r="AM480">
        <v>-1</v>
      </c>
      <c r="AN480">
        <v>3</v>
      </c>
      <c r="AO480">
        <v>3</v>
      </c>
      <c r="AP480">
        <v>3</v>
      </c>
      <c r="AQ480">
        <v>0</v>
      </c>
      <c r="AR480">
        <f t="shared" si="1499"/>
        <v>9</v>
      </c>
      <c r="AS480">
        <f>IF(AND(IFERROR(VLOOKUP(AJ480,Equip!$A:$N,13,FALSE),0)&gt;=5,IFERROR(VLOOKUP(AJ480,Equip!$A:$N,13,FALSE),0)&lt;=9),INT(VLOOKUP(AJ480,Equip!$A:$N,6,FALSE)*SQRT(AN480)),0)</f>
        <v>0</v>
      </c>
      <c r="AT480">
        <f>IF(AND(IFERROR(VLOOKUP(AK480,Equip!$A:$N,13,FALSE),0)&gt;=5,IFERROR(VLOOKUP(AK480,Equip!$A:$N,13,FALSE),0)&lt;=9),INT(VLOOKUP(AK480,Equip!$A:$N,6,FALSE)*SQRT(AO480)),0)</f>
        <v>0</v>
      </c>
      <c r="AU480">
        <f>IF(AND(IFERROR(VLOOKUP(AL480,Equip!$A:$N,13,FALSE),0)&gt;=5,IFERROR(VLOOKUP(AL480,Equip!$A:$N,13,FALSE),0)&lt;=9),INT(VLOOKUP(AL480,Equip!$A:$N,6,FALSE)*SQRT(AP480)),0)</f>
        <v>0</v>
      </c>
      <c r="AV480">
        <f>IF(AND(IFERROR(VLOOKUP(AM480,Equip!$A:$N,13,FALSE),0)&gt;=5,IFERROR(VLOOKUP(AM480,Equip!$A:$N,13,FALSE),0)&lt;=9),INT(VLOOKUP(AM480,Equip!$A:$N,6,FALSE)*SQRT(AQ480)),0)</f>
        <v>0</v>
      </c>
      <c r="AW480">
        <f t="shared" si="1500"/>
        <v>0</v>
      </c>
      <c r="AX480">
        <f t="shared" si="1501"/>
        <v>188</v>
      </c>
    </row>
    <row r="481" spans="1:50">
      <c r="A481">
        <v>510</v>
      </c>
      <c r="B481" t="s">
        <v>942</v>
      </c>
      <c r="C481" t="s">
        <v>942</v>
      </c>
      <c r="D481">
        <v>0</v>
      </c>
      <c r="E481">
        <v>0</v>
      </c>
      <c r="F481">
        <v>0</v>
      </c>
      <c r="G481">
        <v>510</v>
      </c>
      <c r="H481">
        <v>0</v>
      </c>
      <c r="I481">
        <v>0</v>
      </c>
      <c r="J481">
        <v>0</v>
      </c>
      <c r="K481">
        <v>9</v>
      </c>
      <c r="L481">
        <v>4</v>
      </c>
      <c r="M481">
        <v>65</v>
      </c>
      <c r="N481">
        <v>65</v>
      </c>
      <c r="O481">
        <v>0</v>
      </c>
      <c r="P481">
        <v>25</v>
      </c>
      <c r="Q481">
        <v>0</v>
      </c>
      <c r="R481">
        <v>3</v>
      </c>
      <c r="S481">
        <v>15</v>
      </c>
      <c r="T481">
        <v>0</v>
      </c>
      <c r="U481">
        <v>5</v>
      </c>
      <c r="V481">
        <v>30</v>
      </c>
      <c r="W481">
        <v>0</v>
      </c>
      <c r="X481">
        <v>1</v>
      </c>
      <c r="Y481">
        <v>0</v>
      </c>
      <c r="Z481">
        <v>0</v>
      </c>
      <c r="AA481">
        <v>0</v>
      </c>
      <c r="AB481">
        <v>0</v>
      </c>
      <c r="AC481">
        <v>0</v>
      </c>
      <c r="AD481">
        <v>15</v>
      </c>
      <c r="AE481">
        <v>25</v>
      </c>
      <c r="AF481">
        <v>1</v>
      </c>
      <c r="AG481">
        <v>3</v>
      </c>
      <c r="AH481">
        <v>0</v>
      </c>
      <c r="AI481">
        <v>30</v>
      </c>
      <c r="AJ481">
        <v>519</v>
      </c>
      <c r="AK481">
        <v>523</v>
      </c>
      <c r="AL481">
        <v>516</v>
      </c>
      <c r="AM481">
        <v>-1</v>
      </c>
      <c r="AN481">
        <v>18</v>
      </c>
      <c r="AO481">
        <v>18</v>
      </c>
      <c r="AP481">
        <v>18</v>
      </c>
      <c r="AQ481">
        <v>0</v>
      </c>
      <c r="AR481">
        <f t="shared" si="1499"/>
        <v>54</v>
      </c>
      <c r="AS481">
        <f>IF(AND(IFERROR(VLOOKUP(AJ481,Equip!$A:$N,13,FALSE),0)&gt;=5,IFERROR(VLOOKUP(AJ481,Equip!$A:$N,13,FALSE),0)&lt;=9),INT(VLOOKUP(AJ481,Equip!$A:$N,6,FALSE)*SQRT(AN481)),0)</f>
        <v>0</v>
      </c>
      <c r="AT481">
        <f>IF(AND(IFERROR(VLOOKUP(AK481,Equip!$A:$N,13,FALSE),0)&gt;=5,IFERROR(VLOOKUP(AK481,Equip!$A:$N,13,FALSE),0)&lt;=9),INT(VLOOKUP(AK481,Equip!$A:$N,6,FALSE)*SQRT(AO481)),0)</f>
        <v>0</v>
      </c>
      <c r="AU481">
        <f>IF(AND(IFERROR(VLOOKUP(AL481,Equip!$A:$N,13,FALSE),0)&gt;=5,IFERROR(VLOOKUP(AL481,Equip!$A:$N,13,FALSE),0)&lt;=9),INT(VLOOKUP(AL481,Equip!$A:$N,6,FALSE)*SQRT(AP481)),0)</f>
        <v>0</v>
      </c>
      <c r="AV481">
        <f>IF(AND(IFERROR(VLOOKUP(AM481,Equip!$A:$N,13,FALSE),0)&gt;=5,IFERROR(VLOOKUP(AM481,Equip!$A:$N,13,FALSE),0)&lt;=9),INT(VLOOKUP(AM481,Equip!$A:$N,6,FALSE)*SQRT(AQ481)),0)</f>
        <v>0</v>
      </c>
      <c r="AW481">
        <f t="shared" si="1500"/>
        <v>0</v>
      </c>
      <c r="AX481">
        <f t="shared" si="1501"/>
        <v>138</v>
      </c>
    </row>
    <row r="482" spans="1:50">
      <c r="A482">
        <v>511</v>
      </c>
      <c r="B482" t="s">
        <v>943</v>
      </c>
      <c r="C482" t="s">
        <v>943</v>
      </c>
      <c r="D482">
        <v>0</v>
      </c>
      <c r="E482">
        <v>0</v>
      </c>
      <c r="F482">
        <v>0</v>
      </c>
      <c r="G482">
        <v>511</v>
      </c>
      <c r="H482">
        <v>0</v>
      </c>
      <c r="I482">
        <v>0</v>
      </c>
      <c r="J482">
        <v>0</v>
      </c>
      <c r="K482">
        <v>8</v>
      </c>
      <c r="L482">
        <v>10</v>
      </c>
      <c r="M482">
        <v>90</v>
      </c>
      <c r="N482">
        <v>90</v>
      </c>
      <c r="O482">
        <v>65</v>
      </c>
      <c r="P482">
        <v>70</v>
      </c>
      <c r="Q482">
        <v>0</v>
      </c>
      <c r="R482">
        <v>3</v>
      </c>
      <c r="S482">
        <v>70</v>
      </c>
      <c r="T482">
        <v>0</v>
      </c>
      <c r="U482">
        <v>5</v>
      </c>
      <c r="V482">
        <v>20</v>
      </c>
      <c r="W482">
        <v>3</v>
      </c>
      <c r="X482">
        <v>5</v>
      </c>
      <c r="Y482">
        <v>0</v>
      </c>
      <c r="Z482">
        <v>0</v>
      </c>
      <c r="AA482">
        <v>0</v>
      </c>
      <c r="AB482">
        <v>65</v>
      </c>
      <c r="AC482">
        <v>0</v>
      </c>
      <c r="AD482">
        <v>70</v>
      </c>
      <c r="AE482">
        <v>70</v>
      </c>
      <c r="AF482">
        <v>5</v>
      </c>
      <c r="AG482">
        <v>3</v>
      </c>
      <c r="AH482">
        <v>0</v>
      </c>
      <c r="AI482">
        <v>20</v>
      </c>
      <c r="AJ482">
        <v>509</v>
      </c>
      <c r="AK482">
        <v>512</v>
      </c>
      <c r="AL482">
        <v>525</v>
      </c>
      <c r="AM482">
        <v>-1</v>
      </c>
      <c r="AN482">
        <v>3</v>
      </c>
      <c r="AO482">
        <v>3</v>
      </c>
      <c r="AP482">
        <v>3</v>
      </c>
      <c r="AQ482">
        <v>0</v>
      </c>
      <c r="AR482">
        <f t="shared" si="1499"/>
        <v>9</v>
      </c>
      <c r="AS482">
        <f>IF(AND(IFERROR(VLOOKUP(AJ482,Equip!$A:$N,13,FALSE),0)&gt;=5,IFERROR(VLOOKUP(AJ482,Equip!$A:$N,13,FALSE),0)&lt;=9),INT(VLOOKUP(AJ482,Equip!$A:$N,6,FALSE)*SQRT(AN482)),0)</f>
        <v>0</v>
      </c>
      <c r="AT482">
        <f>IF(AND(IFERROR(VLOOKUP(AK482,Equip!$A:$N,13,FALSE),0)&gt;=5,IFERROR(VLOOKUP(AK482,Equip!$A:$N,13,FALSE),0)&lt;=9),INT(VLOOKUP(AK482,Equip!$A:$N,6,FALSE)*SQRT(AO482)),0)</f>
        <v>0</v>
      </c>
      <c r="AU482">
        <f>IF(AND(IFERROR(VLOOKUP(AL482,Equip!$A:$N,13,FALSE),0)&gt;=5,IFERROR(VLOOKUP(AL482,Equip!$A:$N,13,FALSE),0)&lt;=9),INT(VLOOKUP(AL482,Equip!$A:$N,6,FALSE)*SQRT(AP482)),0)</f>
        <v>0</v>
      </c>
      <c r="AV482">
        <f>IF(AND(IFERROR(VLOOKUP(AM482,Equip!$A:$N,13,FALSE),0)&gt;=5,IFERROR(VLOOKUP(AM482,Equip!$A:$N,13,FALSE),0)&lt;=9),INT(VLOOKUP(AM482,Equip!$A:$N,6,FALSE)*SQRT(AQ482)),0)</f>
        <v>0</v>
      </c>
      <c r="AW482">
        <f t="shared" si="1500"/>
        <v>0</v>
      </c>
      <c r="AX482">
        <f t="shared" si="1501"/>
        <v>318</v>
      </c>
    </row>
    <row r="483" spans="1:50">
      <c r="A483">
        <v>512</v>
      </c>
      <c r="B483" t="s">
        <v>944</v>
      </c>
      <c r="C483" t="s">
        <v>944</v>
      </c>
      <c r="D483">
        <v>0</v>
      </c>
      <c r="E483">
        <v>0</v>
      </c>
      <c r="F483">
        <v>0</v>
      </c>
      <c r="G483">
        <v>512</v>
      </c>
      <c r="H483">
        <v>0</v>
      </c>
      <c r="I483">
        <v>0</v>
      </c>
      <c r="J483">
        <v>0</v>
      </c>
      <c r="K483">
        <v>12</v>
      </c>
      <c r="L483">
        <v>4</v>
      </c>
      <c r="M483">
        <v>85</v>
      </c>
      <c r="N483">
        <v>85</v>
      </c>
      <c r="O483">
        <v>0</v>
      </c>
      <c r="P483">
        <v>40</v>
      </c>
      <c r="Q483">
        <v>0</v>
      </c>
      <c r="R483">
        <v>3</v>
      </c>
      <c r="S483">
        <v>30</v>
      </c>
      <c r="T483">
        <v>0</v>
      </c>
      <c r="U483">
        <v>10</v>
      </c>
      <c r="V483">
        <v>40</v>
      </c>
      <c r="W483">
        <v>0</v>
      </c>
      <c r="X483">
        <v>1</v>
      </c>
      <c r="Y483">
        <v>0</v>
      </c>
      <c r="Z483">
        <v>0</v>
      </c>
      <c r="AA483">
        <v>0</v>
      </c>
      <c r="AB483">
        <v>0</v>
      </c>
      <c r="AC483">
        <v>0</v>
      </c>
      <c r="AD483">
        <v>30</v>
      </c>
      <c r="AE483">
        <v>40</v>
      </c>
      <c r="AF483">
        <v>1</v>
      </c>
      <c r="AG483">
        <v>3</v>
      </c>
      <c r="AH483">
        <v>0</v>
      </c>
      <c r="AI483">
        <v>40</v>
      </c>
      <c r="AJ483">
        <v>519</v>
      </c>
      <c r="AK483">
        <v>523</v>
      </c>
      <c r="AL483">
        <v>516</v>
      </c>
      <c r="AM483">
        <v>-1</v>
      </c>
      <c r="AN483">
        <v>27</v>
      </c>
      <c r="AO483">
        <v>27</v>
      </c>
      <c r="AP483">
        <v>27</v>
      </c>
      <c r="AQ483">
        <v>0</v>
      </c>
      <c r="AR483">
        <f t="shared" si="1499"/>
        <v>81</v>
      </c>
      <c r="AS483">
        <f>IF(AND(IFERROR(VLOOKUP(AJ483,Equip!$A:$N,13,FALSE),0)&gt;=5,IFERROR(VLOOKUP(AJ483,Equip!$A:$N,13,FALSE),0)&lt;=9),INT(VLOOKUP(AJ483,Equip!$A:$N,6,FALSE)*SQRT(AN483)),0)</f>
        <v>0</v>
      </c>
      <c r="AT483">
        <f>IF(AND(IFERROR(VLOOKUP(AK483,Equip!$A:$N,13,FALSE),0)&gt;=5,IFERROR(VLOOKUP(AK483,Equip!$A:$N,13,FALSE),0)&lt;=9),INT(VLOOKUP(AK483,Equip!$A:$N,6,FALSE)*SQRT(AO483)),0)</f>
        <v>0</v>
      </c>
      <c r="AU483">
        <f>IF(AND(IFERROR(VLOOKUP(AL483,Equip!$A:$N,13,FALSE),0)&gt;=5,IFERROR(VLOOKUP(AL483,Equip!$A:$N,13,FALSE),0)&lt;=9),INT(VLOOKUP(AL483,Equip!$A:$N,6,FALSE)*SQRT(AP483)),0)</f>
        <v>0</v>
      </c>
      <c r="AV483">
        <f>IF(AND(IFERROR(VLOOKUP(AM483,Equip!$A:$N,13,FALSE),0)&gt;=5,IFERROR(VLOOKUP(AM483,Equip!$A:$N,13,FALSE),0)&lt;=9),INT(VLOOKUP(AM483,Equip!$A:$N,6,FALSE)*SQRT(AQ483)),0)</f>
        <v>0</v>
      </c>
      <c r="AW483">
        <f t="shared" si="1500"/>
        <v>0</v>
      </c>
      <c r="AX483">
        <f t="shared" si="1501"/>
        <v>198</v>
      </c>
    </row>
    <row r="484" spans="1:50">
      <c r="A484">
        <v>513</v>
      </c>
      <c r="B484" t="s">
        <v>945</v>
      </c>
      <c r="C484" t="s">
        <v>945</v>
      </c>
      <c r="D484">
        <v>0</v>
      </c>
      <c r="E484">
        <v>0</v>
      </c>
      <c r="F484">
        <v>0</v>
      </c>
      <c r="G484">
        <v>513</v>
      </c>
      <c r="H484">
        <v>0</v>
      </c>
      <c r="I484">
        <v>0</v>
      </c>
      <c r="J484">
        <v>0</v>
      </c>
      <c r="K484">
        <v>18</v>
      </c>
      <c r="L484">
        <v>4</v>
      </c>
      <c r="M484">
        <v>70</v>
      </c>
      <c r="N484">
        <v>70</v>
      </c>
      <c r="O484">
        <v>0</v>
      </c>
      <c r="P484">
        <v>10</v>
      </c>
      <c r="Q484">
        <v>0</v>
      </c>
      <c r="R484">
        <v>1</v>
      </c>
      <c r="S484">
        <v>0</v>
      </c>
      <c r="T484">
        <v>0</v>
      </c>
      <c r="U484">
        <v>5</v>
      </c>
      <c r="V484">
        <v>0</v>
      </c>
      <c r="W484">
        <v>0</v>
      </c>
      <c r="X484">
        <v>1</v>
      </c>
      <c r="Y484">
        <v>0</v>
      </c>
      <c r="Z484">
        <v>0</v>
      </c>
      <c r="AA484">
        <v>0</v>
      </c>
      <c r="AB484">
        <v>0</v>
      </c>
      <c r="AC484">
        <v>0</v>
      </c>
      <c r="AD484">
        <v>0</v>
      </c>
      <c r="AE484">
        <v>10</v>
      </c>
      <c r="AF484">
        <v>1</v>
      </c>
      <c r="AG484">
        <v>1</v>
      </c>
      <c r="AH484">
        <v>0</v>
      </c>
      <c r="AI484">
        <v>0</v>
      </c>
      <c r="AJ484">
        <v>0</v>
      </c>
      <c r="AK484">
        <v>0</v>
      </c>
      <c r="AL484">
        <v>0</v>
      </c>
      <c r="AM484">
        <v>-1</v>
      </c>
      <c r="AN484">
        <v>0</v>
      </c>
      <c r="AO484">
        <v>0</v>
      </c>
      <c r="AP484">
        <v>0</v>
      </c>
      <c r="AQ484">
        <v>0</v>
      </c>
      <c r="AR484">
        <f t="shared" si="1499"/>
        <v>0</v>
      </c>
      <c r="AS484">
        <f>IF(AND(IFERROR(VLOOKUP(AJ484,Equip!$A:$N,13,FALSE),0)&gt;=5,IFERROR(VLOOKUP(AJ484,Equip!$A:$N,13,FALSE),0)&lt;=9),INT(VLOOKUP(AJ484,Equip!$A:$N,6,FALSE)*SQRT(AN484)),0)</f>
        <v>0</v>
      </c>
      <c r="AT484">
        <f>IF(AND(IFERROR(VLOOKUP(AK484,Equip!$A:$N,13,FALSE),0)&gt;=5,IFERROR(VLOOKUP(AK484,Equip!$A:$N,13,FALSE),0)&lt;=9),INT(VLOOKUP(AK484,Equip!$A:$N,6,FALSE)*SQRT(AO484)),0)</f>
        <v>0</v>
      </c>
      <c r="AU484">
        <f>IF(AND(IFERROR(VLOOKUP(AL484,Equip!$A:$N,13,FALSE),0)&gt;=5,IFERROR(VLOOKUP(AL484,Equip!$A:$N,13,FALSE),0)&lt;=9),INT(VLOOKUP(AL484,Equip!$A:$N,6,FALSE)*SQRT(AP484)),0)</f>
        <v>0</v>
      </c>
      <c r="AV484">
        <f>IF(AND(IFERROR(VLOOKUP(AM484,Equip!$A:$N,13,FALSE),0)&gt;=5,IFERROR(VLOOKUP(AM484,Equip!$A:$N,13,FALSE),0)&lt;=9),INT(VLOOKUP(AM484,Equip!$A:$N,6,FALSE)*SQRT(AQ484)),0)</f>
        <v>0</v>
      </c>
      <c r="AW484">
        <f t="shared" si="1500"/>
        <v>0</v>
      </c>
      <c r="AX484">
        <f t="shared" si="1501"/>
        <v>81</v>
      </c>
    </row>
    <row r="485" spans="1:50">
      <c r="A485">
        <v>514</v>
      </c>
      <c r="B485" t="s">
        <v>1219</v>
      </c>
      <c r="C485" t="s">
        <v>1219</v>
      </c>
      <c r="D485">
        <v>0</v>
      </c>
      <c r="E485">
        <v>0</v>
      </c>
      <c r="F485">
        <v>0</v>
      </c>
      <c r="G485">
        <v>501</v>
      </c>
      <c r="H485">
        <v>0</v>
      </c>
      <c r="I485">
        <v>0</v>
      </c>
      <c r="J485">
        <v>0</v>
      </c>
      <c r="K485">
        <v>1</v>
      </c>
      <c r="L485">
        <v>1</v>
      </c>
      <c r="M485">
        <v>30</v>
      </c>
      <c r="N485">
        <v>30</v>
      </c>
      <c r="O485">
        <v>15</v>
      </c>
      <c r="P485">
        <v>12</v>
      </c>
      <c r="Q485">
        <v>32</v>
      </c>
      <c r="R485">
        <v>30</v>
      </c>
      <c r="S485">
        <v>10</v>
      </c>
      <c r="T485">
        <v>35</v>
      </c>
      <c r="U485">
        <v>10</v>
      </c>
      <c r="V485">
        <v>6</v>
      </c>
      <c r="W485">
        <v>1</v>
      </c>
      <c r="X485">
        <v>10</v>
      </c>
      <c r="Y485">
        <v>0</v>
      </c>
      <c r="Z485">
        <v>0</v>
      </c>
      <c r="AA485">
        <v>0</v>
      </c>
      <c r="AB485">
        <v>15</v>
      </c>
      <c r="AC485">
        <v>32</v>
      </c>
      <c r="AD485">
        <v>10</v>
      </c>
      <c r="AE485">
        <v>12</v>
      </c>
      <c r="AF485">
        <v>10</v>
      </c>
      <c r="AG485">
        <v>30</v>
      </c>
      <c r="AH485">
        <v>35</v>
      </c>
      <c r="AI485">
        <v>6</v>
      </c>
      <c r="AJ485">
        <v>501</v>
      </c>
      <c r="AK485">
        <v>514</v>
      </c>
      <c r="AL485">
        <v>-1</v>
      </c>
      <c r="AM485">
        <v>-1</v>
      </c>
      <c r="AN485">
        <v>0</v>
      </c>
      <c r="AO485">
        <v>0</v>
      </c>
      <c r="AP485">
        <v>0</v>
      </c>
      <c r="AQ485">
        <v>0</v>
      </c>
      <c r="AR485">
        <f t="shared" si="1499"/>
        <v>0</v>
      </c>
      <c r="AS485">
        <f>IF(AND(IFERROR(VLOOKUP(AJ485,Equip!$A:$N,13,FALSE),0)&gt;=5,IFERROR(VLOOKUP(AJ485,Equip!$A:$N,13,FALSE),0)&lt;=9),INT(VLOOKUP(AJ485,Equip!$A:$N,6,FALSE)*SQRT(AN485)),0)</f>
        <v>0</v>
      </c>
      <c r="AT485">
        <f>IF(AND(IFERROR(VLOOKUP(AK485,Equip!$A:$N,13,FALSE),0)&gt;=5,IFERROR(VLOOKUP(AK485,Equip!$A:$N,13,FALSE),0)&lt;=9),INT(VLOOKUP(AK485,Equip!$A:$N,6,FALSE)*SQRT(AO485)),0)</f>
        <v>0</v>
      </c>
      <c r="AU485">
        <f>IF(AND(IFERROR(VLOOKUP(AL485,Equip!$A:$N,13,FALSE),0)&gt;=5,IFERROR(VLOOKUP(AL485,Equip!$A:$N,13,FALSE),0)&lt;=9),INT(VLOOKUP(AL485,Equip!$A:$N,6,FALSE)*SQRT(AP485)),0)</f>
        <v>0</v>
      </c>
      <c r="AV485">
        <f>IF(AND(IFERROR(VLOOKUP(AM485,Equip!$A:$N,13,FALSE),0)&gt;=5,IFERROR(VLOOKUP(AM485,Equip!$A:$N,13,FALSE),0)&lt;=9),INT(VLOOKUP(AM485,Equip!$A:$N,6,FALSE)*SQRT(AQ485)),0)</f>
        <v>0</v>
      </c>
      <c r="AW485">
        <f t="shared" si="1500"/>
        <v>0</v>
      </c>
      <c r="AX485">
        <f t="shared" si="1501"/>
        <v>170</v>
      </c>
    </row>
    <row r="486" spans="1:50">
      <c r="A486">
        <v>515</v>
      </c>
      <c r="B486" t="s">
        <v>1220</v>
      </c>
      <c r="C486" t="s">
        <v>1220</v>
      </c>
      <c r="D486">
        <v>0</v>
      </c>
      <c r="E486">
        <v>0</v>
      </c>
      <c r="F486">
        <v>0</v>
      </c>
      <c r="G486">
        <v>502</v>
      </c>
      <c r="H486">
        <v>0</v>
      </c>
      <c r="I486">
        <v>0</v>
      </c>
      <c r="J486">
        <v>0</v>
      </c>
      <c r="K486">
        <v>1</v>
      </c>
      <c r="L486">
        <v>1</v>
      </c>
      <c r="M486">
        <v>35</v>
      </c>
      <c r="N486">
        <v>35</v>
      </c>
      <c r="O486">
        <v>20</v>
      </c>
      <c r="P486">
        <v>14</v>
      </c>
      <c r="Q486">
        <v>32</v>
      </c>
      <c r="R486">
        <v>30</v>
      </c>
      <c r="S486">
        <v>12</v>
      </c>
      <c r="T486">
        <v>35</v>
      </c>
      <c r="U486">
        <v>10</v>
      </c>
      <c r="V486">
        <v>6</v>
      </c>
      <c r="W486">
        <v>1</v>
      </c>
      <c r="X486">
        <v>10</v>
      </c>
      <c r="Y486">
        <v>0</v>
      </c>
      <c r="Z486">
        <v>0</v>
      </c>
      <c r="AA486">
        <v>0</v>
      </c>
      <c r="AB486">
        <v>20</v>
      </c>
      <c r="AC486">
        <v>32</v>
      </c>
      <c r="AD486">
        <v>12</v>
      </c>
      <c r="AE486">
        <v>14</v>
      </c>
      <c r="AF486">
        <v>10</v>
      </c>
      <c r="AG486">
        <v>30</v>
      </c>
      <c r="AH486">
        <v>35</v>
      </c>
      <c r="AI486">
        <v>6</v>
      </c>
      <c r="AJ486">
        <v>502</v>
      </c>
      <c r="AK486">
        <v>514</v>
      </c>
      <c r="AL486">
        <v>-1</v>
      </c>
      <c r="AM486">
        <v>-1</v>
      </c>
      <c r="AN486">
        <v>0</v>
      </c>
      <c r="AO486">
        <v>0</v>
      </c>
      <c r="AP486">
        <v>0</v>
      </c>
      <c r="AQ486">
        <v>0</v>
      </c>
      <c r="AR486">
        <f t="shared" si="1499"/>
        <v>0</v>
      </c>
      <c r="AS486">
        <f>IF(AND(IFERROR(VLOOKUP(AJ486,Equip!$A:$N,13,FALSE),0)&gt;=5,IFERROR(VLOOKUP(AJ486,Equip!$A:$N,13,FALSE),0)&lt;=9),INT(VLOOKUP(AJ486,Equip!$A:$N,6,FALSE)*SQRT(AN486)),0)</f>
        <v>0</v>
      </c>
      <c r="AT486">
        <f>IF(AND(IFERROR(VLOOKUP(AK486,Equip!$A:$N,13,FALSE),0)&gt;=5,IFERROR(VLOOKUP(AK486,Equip!$A:$N,13,FALSE),0)&lt;=9),INT(VLOOKUP(AK486,Equip!$A:$N,6,FALSE)*SQRT(AO486)),0)</f>
        <v>0</v>
      </c>
      <c r="AU486">
        <f>IF(AND(IFERROR(VLOOKUP(AL486,Equip!$A:$N,13,FALSE),0)&gt;=5,IFERROR(VLOOKUP(AL486,Equip!$A:$N,13,FALSE),0)&lt;=9),INT(VLOOKUP(AL486,Equip!$A:$N,6,FALSE)*SQRT(AP486)),0)</f>
        <v>0</v>
      </c>
      <c r="AV486">
        <f>IF(AND(IFERROR(VLOOKUP(AM486,Equip!$A:$N,13,FALSE),0)&gt;=5,IFERROR(VLOOKUP(AM486,Equip!$A:$N,13,FALSE),0)&lt;=9),INT(VLOOKUP(AM486,Equip!$A:$N,6,FALSE)*SQRT(AQ486)),0)</f>
        <v>0</v>
      </c>
      <c r="AW486">
        <f t="shared" si="1500"/>
        <v>0</v>
      </c>
      <c r="AX486">
        <f t="shared" si="1501"/>
        <v>184</v>
      </c>
    </row>
    <row r="487" spans="1:50">
      <c r="A487">
        <v>516</v>
      </c>
      <c r="B487" t="s">
        <v>1221</v>
      </c>
      <c r="C487" t="s">
        <v>1221</v>
      </c>
      <c r="D487">
        <v>0</v>
      </c>
      <c r="E487">
        <v>0</v>
      </c>
      <c r="F487">
        <v>0</v>
      </c>
      <c r="G487">
        <v>503</v>
      </c>
      <c r="H487">
        <v>0</v>
      </c>
      <c r="I487">
        <v>0</v>
      </c>
      <c r="J487">
        <v>0</v>
      </c>
      <c r="K487">
        <v>1</v>
      </c>
      <c r="L487">
        <v>1</v>
      </c>
      <c r="M487">
        <v>40</v>
      </c>
      <c r="N487">
        <v>40</v>
      </c>
      <c r="O487">
        <v>15</v>
      </c>
      <c r="P487">
        <v>16</v>
      </c>
      <c r="Q487">
        <v>32</v>
      </c>
      <c r="R487">
        <v>35</v>
      </c>
      <c r="S487">
        <v>14</v>
      </c>
      <c r="T487">
        <v>40</v>
      </c>
      <c r="U487">
        <v>10</v>
      </c>
      <c r="V487">
        <v>7</v>
      </c>
      <c r="W487">
        <v>1</v>
      </c>
      <c r="X487">
        <v>10</v>
      </c>
      <c r="Y487">
        <v>0</v>
      </c>
      <c r="Z487">
        <v>0</v>
      </c>
      <c r="AA487">
        <v>0</v>
      </c>
      <c r="AB487">
        <v>15</v>
      </c>
      <c r="AC487">
        <v>32</v>
      </c>
      <c r="AD487">
        <v>14</v>
      </c>
      <c r="AE487">
        <v>16</v>
      </c>
      <c r="AF487">
        <v>10</v>
      </c>
      <c r="AG487">
        <v>35</v>
      </c>
      <c r="AH487">
        <v>40</v>
      </c>
      <c r="AI487">
        <v>7</v>
      </c>
      <c r="AJ487">
        <v>502</v>
      </c>
      <c r="AK487">
        <v>515</v>
      </c>
      <c r="AL487">
        <v>-1</v>
      </c>
      <c r="AM487">
        <v>-1</v>
      </c>
      <c r="AN487">
        <v>0</v>
      </c>
      <c r="AO487">
        <v>0</v>
      </c>
      <c r="AP487">
        <v>0</v>
      </c>
      <c r="AQ487">
        <v>0</v>
      </c>
      <c r="AR487">
        <f t="shared" si="1499"/>
        <v>0</v>
      </c>
      <c r="AS487">
        <f>IF(AND(IFERROR(VLOOKUP(AJ487,Equip!$A:$N,13,FALSE),0)&gt;=5,IFERROR(VLOOKUP(AJ487,Equip!$A:$N,13,FALSE),0)&lt;=9),INT(VLOOKUP(AJ487,Equip!$A:$N,6,FALSE)*SQRT(AN487)),0)</f>
        <v>0</v>
      </c>
      <c r="AT487">
        <f>IF(AND(IFERROR(VLOOKUP(AK487,Equip!$A:$N,13,FALSE),0)&gt;=5,IFERROR(VLOOKUP(AK487,Equip!$A:$N,13,FALSE),0)&lt;=9),INT(VLOOKUP(AK487,Equip!$A:$N,6,FALSE)*SQRT(AO487)),0)</f>
        <v>0</v>
      </c>
      <c r="AU487">
        <f>IF(AND(IFERROR(VLOOKUP(AL487,Equip!$A:$N,13,FALSE),0)&gt;=5,IFERROR(VLOOKUP(AL487,Equip!$A:$N,13,FALSE),0)&lt;=9),INT(VLOOKUP(AL487,Equip!$A:$N,6,FALSE)*SQRT(AP487)),0)</f>
        <v>0</v>
      </c>
      <c r="AV487">
        <f>IF(AND(IFERROR(VLOOKUP(AM487,Equip!$A:$N,13,FALSE),0)&gt;=5,IFERROR(VLOOKUP(AM487,Equip!$A:$N,13,FALSE),0)&lt;=9),INT(VLOOKUP(AM487,Equip!$A:$N,6,FALSE)*SQRT(AQ487)),0)</f>
        <v>0</v>
      </c>
      <c r="AW487">
        <f t="shared" si="1500"/>
        <v>0</v>
      </c>
      <c r="AX487">
        <f t="shared" si="1501"/>
        <v>199</v>
      </c>
    </row>
    <row r="488" spans="1:50">
      <c r="A488">
        <v>517</v>
      </c>
      <c r="B488" t="s">
        <v>1222</v>
      </c>
      <c r="C488" t="s">
        <v>1222</v>
      </c>
      <c r="D488">
        <v>0</v>
      </c>
      <c r="E488">
        <v>0</v>
      </c>
      <c r="F488">
        <v>0</v>
      </c>
      <c r="G488">
        <v>504</v>
      </c>
      <c r="H488">
        <v>0</v>
      </c>
      <c r="I488">
        <v>0</v>
      </c>
      <c r="J488">
        <v>0</v>
      </c>
      <c r="K488">
        <v>1</v>
      </c>
      <c r="L488">
        <v>1</v>
      </c>
      <c r="M488">
        <v>45</v>
      </c>
      <c r="N488">
        <v>45</v>
      </c>
      <c r="O488">
        <v>20</v>
      </c>
      <c r="P488">
        <v>18</v>
      </c>
      <c r="Q488">
        <v>40</v>
      </c>
      <c r="R488">
        <v>40</v>
      </c>
      <c r="S488">
        <v>18</v>
      </c>
      <c r="T488">
        <v>45</v>
      </c>
      <c r="U488">
        <v>10</v>
      </c>
      <c r="V488">
        <v>7</v>
      </c>
      <c r="W488">
        <v>1</v>
      </c>
      <c r="X488">
        <v>10</v>
      </c>
      <c r="Y488">
        <v>0</v>
      </c>
      <c r="Z488">
        <v>0</v>
      </c>
      <c r="AA488">
        <v>0</v>
      </c>
      <c r="AB488">
        <v>20</v>
      </c>
      <c r="AC488">
        <v>40</v>
      </c>
      <c r="AD488">
        <v>18</v>
      </c>
      <c r="AE488">
        <v>18</v>
      </c>
      <c r="AF488">
        <v>10</v>
      </c>
      <c r="AG488">
        <v>40</v>
      </c>
      <c r="AH488">
        <v>45</v>
      </c>
      <c r="AI488">
        <v>7</v>
      </c>
      <c r="AJ488">
        <v>502</v>
      </c>
      <c r="AK488">
        <v>515</v>
      </c>
      <c r="AL488">
        <v>-1</v>
      </c>
      <c r="AM488">
        <v>-1</v>
      </c>
      <c r="AN488">
        <v>0</v>
      </c>
      <c r="AO488">
        <v>0</v>
      </c>
      <c r="AP488">
        <v>0</v>
      </c>
      <c r="AQ488">
        <v>0</v>
      </c>
      <c r="AR488">
        <f t="shared" si="1499"/>
        <v>0</v>
      </c>
      <c r="AS488">
        <f>IF(AND(IFERROR(VLOOKUP(AJ488,Equip!$A:$N,13,FALSE),0)&gt;=5,IFERROR(VLOOKUP(AJ488,Equip!$A:$N,13,FALSE),0)&lt;=9),INT(VLOOKUP(AJ488,Equip!$A:$N,6,FALSE)*SQRT(AN488)),0)</f>
        <v>0</v>
      </c>
      <c r="AT488">
        <f>IF(AND(IFERROR(VLOOKUP(AK488,Equip!$A:$N,13,FALSE),0)&gt;=5,IFERROR(VLOOKUP(AK488,Equip!$A:$N,13,FALSE),0)&lt;=9),INT(VLOOKUP(AK488,Equip!$A:$N,6,FALSE)*SQRT(AO488)),0)</f>
        <v>0</v>
      </c>
      <c r="AU488">
        <f>IF(AND(IFERROR(VLOOKUP(AL488,Equip!$A:$N,13,FALSE),0)&gt;=5,IFERROR(VLOOKUP(AL488,Equip!$A:$N,13,FALSE),0)&lt;=9),INT(VLOOKUP(AL488,Equip!$A:$N,6,FALSE)*SQRT(AP488)),0)</f>
        <v>0</v>
      </c>
      <c r="AV488">
        <f>IF(AND(IFERROR(VLOOKUP(AM488,Equip!$A:$N,13,FALSE),0)&gt;=5,IFERROR(VLOOKUP(AM488,Equip!$A:$N,13,FALSE),0)&lt;=9),INT(VLOOKUP(AM488,Equip!$A:$N,6,FALSE)*SQRT(AQ488)),0)</f>
        <v>0</v>
      </c>
      <c r="AW488">
        <f t="shared" si="1500"/>
        <v>0</v>
      </c>
      <c r="AX488">
        <f t="shared" si="1501"/>
        <v>233</v>
      </c>
    </row>
    <row r="489" spans="1:50">
      <c r="A489">
        <v>518</v>
      </c>
      <c r="B489" t="s">
        <v>1223</v>
      </c>
      <c r="C489" t="s">
        <v>1223</v>
      </c>
      <c r="D489">
        <v>0</v>
      </c>
      <c r="E489">
        <v>0</v>
      </c>
      <c r="F489">
        <v>0</v>
      </c>
      <c r="G489">
        <v>505</v>
      </c>
      <c r="H489">
        <v>0</v>
      </c>
      <c r="I489">
        <v>0</v>
      </c>
      <c r="J489">
        <v>0</v>
      </c>
      <c r="K489">
        <v>2</v>
      </c>
      <c r="L489">
        <v>2</v>
      </c>
      <c r="M489">
        <v>48</v>
      </c>
      <c r="N489">
        <v>48</v>
      </c>
      <c r="O489">
        <v>30</v>
      </c>
      <c r="P489">
        <v>30</v>
      </c>
      <c r="Q489">
        <v>40</v>
      </c>
      <c r="R489">
        <v>24</v>
      </c>
      <c r="S489">
        <v>20</v>
      </c>
      <c r="T489">
        <v>40</v>
      </c>
      <c r="U489">
        <v>10</v>
      </c>
      <c r="V489">
        <v>6</v>
      </c>
      <c r="W489">
        <v>2</v>
      </c>
      <c r="X489">
        <v>10</v>
      </c>
      <c r="Y489">
        <v>0</v>
      </c>
      <c r="Z489">
        <v>0</v>
      </c>
      <c r="AA489">
        <v>0</v>
      </c>
      <c r="AB489">
        <v>30</v>
      </c>
      <c r="AC489">
        <v>40</v>
      </c>
      <c r="AD489">
        <v>20</v>
      </c>
      <c r="AE489">
        <v>30</v>
      </c>
      <c r="AF489">
        <v>10</v>
      </c>
      <c r="AG489">
        <v>24</v>
      </c>
      <c r="AH489">
        <v>40</v>
      </c>
      <c r="AI489">
        <v>6</v>
      </c>
      <c r="AJ489">
        <v>504</v>
      </c>
      <c r="AK489">
        <v>525</v>
      </c>
      <c r="AL489">
        <v>-1</v>
      </c>
      <c r="AM489">
        <v>-1</v>
      </c>
      <c r="AN489">
        <v>1</v>
      </c>
      <c r="AO489">
        <v>1</v>
      </c>
      <c r="AP489">
        <v>0</v>
      </c>
      <c r="AQ489">
        <v>0</v>
      </c>
      <c r="AR489">
        <f t="shared" si="1499"/>
        <v>2</v>
      </c>
      <c r="AS489">
        <f>IF(AND(IFERROR(VLOOKUP(AJ489,Equip!$A:$N,13,FALSE),0)&gt;=5,IFERROR(VLOOKUP(AJ489,Equip!$A:$N,13,FALSE),0)&lt;=9),INT(VLOOKUP(AJ489,Equip!$A:$N,6,FALSE)*SQRT(AN489)),0)</f>
        <v>0</v>
      </c>
      <c r="AT489">
        <f>IF(AND(IFERROR(VLOOKUP(AK489,Equip!$A:$N,13,FALSE),0)&gt;=5,IFERROR(VLOOKUP(AK489,Equip!$A:$N,13,FALSE),0)&lt;=9),INT(VLOOKUP(AK489,Equip!$A:$N,6,FALSE)*SQRT(AO489)),0)</f>
        <v>0</v>
      </c>
      <c r="AU489">
        <f>IF(AND(IFERROR(VLOOKUP(AL489,Equip!$A:$N,13,FALSE),0)&gt;=5,IFERROR(VLOOKUP(AL489,Equip!$A:$N,13,FALSE),0)&lt;=9),INT(VLOOKUP(AL489,Equip!$A:$N,6,FALSE)*SQRT(AP489)),0)</f>
        <v>0</v>
      </c>
      <c r="AV489">
        <f>IF(AND(IFERROR(VLOOKUP(AM489,Equip!$A:$N,13,FALSE),0)&gt;=5,IFERROR(VLOOKUP(AM489,Equip!$A:$N,13,FALSE),0)&lt;=9),INT(VLOOKUP(AM489,Equip!$A:$N,6,FALSE)*SQRT(AQ489)),0)</f>
        <v>0</v>
      </c>
      <c r="AW489">
        <f t="shared" si="1500"/>
        <v>0</v>
      </c>
      <c r="AX489">
        <f t="shared" si="1501"/>
        <v>238</v>
      </c>
    </row>
    <row r="490" spans="1:50">
      <c r="A490">
        <v>519</v>
      </c>
      <c r="B490" t="s">
        <v>1224</v>
      </c>
      <c r="C490" t="s">
        <v>1224</v>
      </c>
      <c r="D490">
        <v>0</v>
      </c>
      <c r="E490">
        <v>0</v>
      </c>
      <c r="F490">
        <v>0</v>
      </c>
      <c r="G490">
        <v>506</v>
      </c>
      <c r="H490">
        <v>0</v>
      </c>
      <c r="I490">
        <v>0</v>
      </c>
      <c r="J490">
        <v>0</v>
      </c>
      <c r="K490">
        <v>2</v>
      </c>
      <c r="L490">
        <v>2</v>
      </c>
      <c r="M490">
        <v>52</v>
      </c>
      <c r="N490">
        <v>52</v>
      </c>
      <c r="O490">
        <v>34</v>
      </c>
      <c r="P490">
        <v>32</v>
      </c>
      <c r="Q490">
        <v>48</v>
      </c>
      <c r="R490">
        <v>26</v>
      </c>
      <c r="S490">
        <v>23</v>
      </c>
      <c r="T490">
        <v>45</v>
      </c>
      <c r="U490">
        <v>10</v>
      </c>
      <c r="V490">
        <v>6</v>
      </c>
      <c r="W490">
        <v>2</v>
      </c>
      <c r="X490">
        <v>10</v>
      </c>
      <c r="Y490">
        <v>0</v>
      </c>
      <c r="Z490">
        <v>0</v>
      </c>
      <c r="AA490">
        <v>0</v>
      </c>
      <c r="AB490">
        <v>34</v>
      </c>
      <c r="AC490">
        <v>48</v>
      </c>
      <c r="AD490">
        <v>23</v>
      </c>
      <c r="AE490">
        <v>32</v>
      </c>
      <c r="AF490">
        <v>10</v>
      </c>
      <c r="AG490">
        <v>26</v>
      </c>
      <c r="AH490">
        <v>45</v>
      </c>
      <c r="AI490">
        <v>6</v>
      </c>
      <c r="AJ490">
        <v>506</v>
      </c>
      <c r="AK490">
        <v>525</v>
      </c>
      <c r="AL490">
        <v>-1</v>
      </c>
      <c r="AM490">
        <v>-1</v>
      </c>
      <c r="AN490">
        <v>1</v>
      </c>
      <c r="AO490">
        <v>1</v>
      </c>
      <c r="AP490">
        <v>0</v>
      </c>
      <c r="AQ490">
        <v>0</v>
      </c>
      <c r="AR490">
        <f t="shared" si="1499"/>
        <v>2</v>
      </c>
      <c r="AS490">
        <f>IF(AND(IFERROR(VLOOKUP(AJ490,Equip!$A:$N,13,FALSE),0)&gt;=5,IFERROR(VLOOKUP(AJ490,Equip!$A:$N,13,FALSE),0)&lt;=9),INT(VLOOKUP(AJ490,Equip!$A:$N,6,FALSE)*SQRT(AN490)),0)</f>
        <v>0</v>
      </c>
      <c r="AT490">
        <f>IF(AND(IFERROR(VLOOKUP(AK490,Equip!$A:$N,13,FALSE),0)&gt;=5,IFERROR(VLOOKUP(AK490,Equip!$A:$N,13,FALSE),0)&lt;=9),INT(VLOOKUP(AK490,Equip!$A:$N,6,FALSE)*SQRT(AO490)),0)</f>
        <v>0</v>
      </c>
      <c r="AU490">
        <f>IF(AND(IFERROR(VLOOKUP(AL490,Equip!$A:$N,13,FALSE),0)&gt;=5,IFERROR(VLOOKUP(AL490,Equip!$A:$N,13,FALSE),0)&lt;=9),INT(VLOOKUP(AL490,Equip!$A:$N,6,FALSE)*SQRT(AP490)),0)</f>
        <v>0</v>
      </c>
      <c r="AV490">
        <f>IF(AND(IFERROR(VLOOKUP(AM490,Equip!$A:$N,13,FALSE),0)&gt;=5,IFERROR(VLOOKUP(AM490,Equip!$A:$N,13,FALSE),0)&lt;=9),INT(VLOOKUP(AM490,Equip!$A:$N,6,FALSE)*SQRT(AQ490)),0)</f>
        <v>0</v>
      </c>
      <c r="AW490">
        <f t="shared" si="1500"/>
        <v>0</v>
      </c>
      <c r="AX490">
        <f t="shared" si="1501"/>
        <v>266</v>
      </c>
    </row>
    <row r="491" spans="1:50">
      <c r="A491">
        <v>520</v>
      </c>
      <c r="B491" t="s">
        <v>1225</v>
      </c>
      <c r="C491" t="s">
        <v>1225</v>
      </c>
      <c r="D491">
        <v>0</v>
      </c>
      <c r="E491">
        <v>0</v>
      </c>
      <c r="F491">
        <v>0</v>
      </c>
      <c r="G491">
        <v>507</v>
      </c>
      <c r="H491">
        <v>0</v>
      </c>
      <c r="I491">
        <v>0</v>
      </c>
      <c r="J491">
        <v>0</v>
      </c>
      <c r="K491">
        <v>2</v>
      </c>
      <c r="L491">
        <v>2</v>
      </c>
      <c r="M491">
        <v>55</v>
      </c>
      <c r="N491">
        <v>55</v>
      </c>
      <c r="O491">
        <v>36</v>
      </c>
      <c r="P491">
        <v>36</v>
      </c>
      <c r="Q491">
        <v>48</v>
      </c>
      <c r="R491">
        <v>28</v>
      </c>
      <c r="S491">
        <v>24</v>
      </c>
      <c r="T491">
        <v>50</v>
      </c>
      <c r="U491">
        <v>10</v>
      </c>
      <c r="V491">
        <v>6</v>
      </c>
      <c r="W491">
        <v>2</v>
      </c>
      <c r="X491">
        <v>10</v>
      </c>
      <c r="Y491">
        <v>0</v>
      </c>
      <c r="Z491">
        <v>0</v>
      </c>
      <c r="AA491">
        <v>0</v>
      </c>
      <c r="AB491">
        <v>36</v>
      </c>
      <c r="AC491">
        <v>48</v>
      </c>
      <c r="AD491">
        <v>24</v>
      </c>
      <c r="AE491">
        <v>36</v>
      </c>
      <c r="AF491">
        <v>10</v>
      </c>
      <c r="AG491">
        <v>28</v>
      </c>
      <c r="AH491">
        <v>50</v>
      </c>
      <c r="AI491">
        <v>6</v>
      </c>
      <c r="AJ491">
        <v>506</v>
      </c>
      <c r="AK491">
        <v>513</v>
      </c>
      <c r="AL491">
        <v>525</v>
      </c>
      <c r="AM491">
        <v>-1</v>
      </c>
      <c r="AN491">
        <v>2</v>
      </c>
      <c r="AO491">
        <v>2</v>
      </c>
      <c r="AP491">
        <v>2</v>
      </c>
      <c r="AQ491">
        <v>0</v>
      </c>
      <c r="AR491">
        <f t="shared" si="1499"/>
        <v>6</v>
      </c>
      <c r="AS491">
        <f>IF(AND(IFERROR(VLOOKUP(AJ491,Equip!$A:$N,13,FALSE),0)&gt;=5,IFERROR(VLOOKUP(AJ491,Equip!$A:$N,13,FALSE),0)&lt;=9),INT(VLOOKUP(AJ491,Equip!$A:$N,6,FALSE)*SQRT(AN491)),0)</f>
        <v>0</v>
      </c>
      <c r="AT491">
        <f>IF(AND(IFERROR(VLOOKUP(AK491,Equip!$A:$N,13,FALSE),0)&gt;=5,IFERROR(VLOOKUP(AK491,Equip!$A:$N,13,FALSE),0)&lt;=9),INT(VLOOKUP(AK491,Equip!$A:$N,6,FALSE)*SQRT(AO491)),0)</f>
        <v>0</v>
      </c>
      <c r="AU491">
        <f>IF(AND(IFERROR(VLOOKUP(AL491,Equip!$A:$N,13,FALSE),0)&gt;=5,IFERROR(VLOOKUP(AL491,Equip!$A:$N,13,FALSE),0)&lt;=9),INT(VLOOKUP(AL491,Equip!$A:$N,6,FALSE)*SQRT(AP491)),0)</f>
        <v>0</v>
      </c>
      <c r="AV491">
        <f>IF(AND(IFERROR(VLOOKUP(AM491,Equip!$A:$N,13,FALSE),0)&gt;=5,IFERROR(VLOOKUP(AM491,Equip!$A:$N,13,FALSE),0)&lt;=9),INT(VLOOKUP(AM491,Equip!$A:$N,6,FALSE)*SQRT(AQ491)),0)</f>
        <v>0</v>
      </c>
      <c r="AW491">
        <f t="shared" si="1500"/>
        <v>0</v>
      </c>
      <c r="AX491">
        <f t="shared" si="1501"/>
        <v>283</v>
      </c>
    </row>
    <row r="492" spans="1:50">
      <c r="A492">
        <v>521</v>
      </c>
      <c r="B492" t="s">
        <v>1226</v>
      </c>
      <c r="C492" t="s">
        <v>1226</v>
      </c>
      <c r="D492">
        <v>0</v>
      </c>
      <c r="E492">
        <v>0</v>
      </c>
      <c r="F492">
        <v>0</v>
      </c>
      <c r="G492">
        <v>508</v>
      </c>
      <c r="H492">
        <v>0</v>
      </c>
      <c r="I492">
        <v>0</v>
      </c>
      <c r="J492">
        <v>0</v>
      </c>
      <c r="K492">
        <v>4</v>
      </c>
      <c r="L492">
        <v>2</v>
      </c>
      <c r="M492">
        <v>50</v>
      </c>
      <c r="N492">
        <v>50</v>
      </c>
      <c r="O492">
        <v>35</v>
      </c>
      <c r="P492">
        <v>34</v>
      </c>
      <c r="Q492">
        <v>72</v>
      </c>
      <c r="R492">
        <v>30</v>
      </c>
      <c r="S492">
        <v>20</v>
      </c>
      <c r="T492">
        <v>40</v>
      </c>
      <c r="U492">
        <v>10</v>
      </c>
      <c r="V492">
        <v>10</v>
      </c>
      <c r="W492">
        <v>2</v>
      </c>
      <c r="X492">
        <v>10</v>
      </c>
      <c r="Y492">
        <v>5</v>
      </c>
      <c r="Z492">
        <v>0</v>
      </c>
      <c r="AA492">
        <v>0</v>
      </c>
      <c r="AB492">
        <v>35</v>
      </c>
      <c r="AC492">
        <v>72</v>
      </c>
      <c r="AD492">
        <v>20</v>
      </c>
      <c r="AE492">
        <v>34</v>
      </c>
      <c r="AF492">
        <v>10</v>
      </c>
      <c r="AG492">
        <v>30</v>
      </c>
      <c r="AH492">
        <v>40</v>
      </c>
      <c r="AI492">
        <v>10</v>
      </c>
      <c r="AJ492">
        <v>506</v>
      </c>
      <c r="AK492">
        <v>514</v>
      </c>
      <c r="AL492">
        <v>514</v>
      </c>
      <c r="AM492">
        <v>-1</v>
      </c>
      <c r="AN492">
        <v>2</v>
      </c>
      <c r="AO492">
        <v>2</v>
      </c>
      <c r="AP492">
        <v>2</v>
      </c>
      <c r="AQ492">
        <v>0</v>
      </c>
      <c r="AR492">
        <f t="shared" si="1499"/>
        <v>6</v>
      </c>
      <c r="AS492">
        <f>IF(AND(IFERROR(VLOOKUP(AJ492,Equip!$A:$N,13,FALSE),0)&gt;=5,IFERROR(VLOOKUP(AJ492,Equip!$A:$N,13,FALSE),0)&lt;=9),INT(VLOOKUP(AJ492,Equip!$A:$N,6,FALSE)*SQRT(AN492)),0)</f>
        <v>0</v>
      </c>
      <c r="AT492">
        <f>IF(AND(IFERROR(VLOOKUP(AK492,Equip!$A:$N,13,FALSE),0)&gt;=5,IFERROR(VLOOKUP(AK492,Equip!$A:$N,13,FALSE),0)&lt;=9),INT(VLOOKUP(AK492,Equip!$A:$N,6,FALSE)*SQRT(AO492)),0)</f>
        <v>0</v>
      </c>
      <c r="AU492">
        <f>IF(AND(IFERROR(VLOOKUP(AL492,Equip!$A:$N,13,FALSE),0)&gt;=5,IFERROR(VLOOKUP(AL492,Equip!$A:$N,13,FALSE),0)&lt;=9),INT(VLOOKUP(AL492,Equip!$A:$N,6,FALSE)*SQRT(AP492)),0)</f>
        <v>0</v>
      </c>
      <c r="AV492">
        <f>IF(AND(IFERROR(VLOOKUP(AM492,Equip!$A:$N,13,FALSE),0)&gt;=5,IFERROR(VLOOKUP(AM492,Equip!$A:$N,13,FALSE),0)&lt;=9),INT(VLOOKUP(AM492,Equip!$A:$N,6,FALSE)*SQRT(AQ492)),0)</f>
        <v>0</v>
      </c>
      <c r="AW492">
        <f t="shared" si="1500"/>
        <v>0</v>
      </c>
      <c r="AX492">
        <f t="shared" si="1501"/>
        <v>291</v>
      </c>
    </row>
    <row r="493" spans="1:50">
      <c r="A493">
        <v>522</v>
      </c>
      <c r="B493" t="s">
        <v>1227</v>
      </c>
      <c r="C493" t="s">
        <v>1227</v>
      </c>
      <c r="D493">
        <v>0</v>
      </c>
      <c r="E493">
        <v>0</v>
      </c>
      <c r="F493">
        <v>0</v>
      </c>
      <c r="G493">
        <v>509</v>
      </c>
      <c r="H493">
        <v>0</v>
      </c>
      <c r="I493">
        <v>0</v>
      </c>
      <c r="J493">
        <v>0</v>
      </c>
      <c r="K493">
        <v>3</v>
      </c>
      <c r="L493">
        <v>4</v>
      </c>
      <c r="M493">
        <v>60</v>
      </c>
      <c r="N493">
        <v>60</v>
      </c>
      <c r="O493">
        <v>58</v>
      </c>
      <c r="P493">
        <v>60</v>
      </c>
      <c r="Q493">
        <v>42</v>
      </c>
      <c r="R493">
        <v>20</v>
      </c>
      <c r="S493">
        <v>30</v>
      </c>
      <c r="T493">
        <v>0</v>
      </c>
      <c r="U493">
        <v>10</v>
      </c>
      <c r="V493">
        <v>15</v>
      </c>
      <c r="W493">
        <v>2</v>
      </c>
      <c r="X493">
        <v>10</v>
      </c>
      <c r="Y493">
        <v>0</v>
      </c>
      <c r="Z493">
        <v>0</v>
      </c>
      <c r="AA493">
        <v>0</v>
      </c>
      <c r="AB493">
        <v>58</v>
      </c>
      <c r="AC493">
        <v>42</v>
      </c>
      <c r="AD493">
        <v>30</v>
      </c>
      <c r="AE493">
        <v>60</v>
      </c>
      <c r="AF493">
        <v>10</v>
      </c>
      <c r="AG493">
        <v>20</v>
      </c>
      <c r="AH493">
        <v>0</v>
      </c>
      <c r="AI493">
        <v>15</v>
      </c>
      <c r="AJ493">
        <v>505</v>
      </c>
      <c r="AK493">
        <v>506</v>
      </c>
      <c r="AL493">
        <v>525</v>
      </c>
      <c r="AM493">
        <v>525</v>
      </c>
      <c r="AN493">
        <v>3</v>
      </c>
      <c r="AO493">
        <v>3</v>
      </c>
      <c r="AP493">
        <v>3</v>
      </c>
      <c r="AQ493">
        <v>3</v>
      </c>
      <c r="AR493">
        <f t="shared" si="1499"/>
        <v>12</v>
      </c>
      <c r="AS493">
        <f>IF(AND(IFERROR(VLOOKUP(AJ493,Equip!$A:$N,13,FALSE),0)&gt;=5,IFERROR(VLOOKUP(AJ493,Equip!$A:$N,13,FALSE),0)&lt;=9),INT(VLOOKUP(AJ493,Equip!$A:$N,6,FALSE)*SQRT(AN493)),0)</f>
        <v>0</v>
      </c>
      <c r="AT493">
        <f>IF(AND(IFERROR(VLOOKUP(AK493,Equip!$A:$N,13,FALSE),0)&gt;=5,IFERROR(VLOOKUP(AK493,Equip!$A:$N,13,FALSE),0)&lt;=9),INT(VLOOKUP(AK493,Equip!$A:$N,6,FALSE)*SQRT(AO493)),0)</f>
        <v>0</v>
      </c>
      <c r="AU493">
        <f>IF(AND(IFERROR(VLOOKUP(AL493,Equip!$A:$N,13,FALSE),0)&gt;=5,IFERROR(VLOOKUP(AL493,Equip!$A:$N,13,FALSE),0)&lt;=9),INT(VLOOKUP(AL493,Equip!$A:$N,6,FALSE)*SQRT(AP493)),0)</f>
        <v>0</v>
      </c>
      <c r="AV493">
        <f>IF(AND(IFERROR(VLOOKUP(AM493,Equip!$A:$N,13,FALSE),0)&gt;=5,IFERROR(VLOOKUP(AM493,Equip!$A:$N,13,FALSE),0)&lt;=9),INT(VLOOKUP(AM493,Equip!$A:$N,6,FALSE)*SQRT(AQ493)),0)</f>
        <v>0</v>
      </c>
      <c r="AW493">
        <f t="shared" si="1500"/>
        <v>0</v>
      </c>
      <c r="AX493">
        <f t="shared" si="1501"/>
        <v>285</v>
      </c>
    </row>
    <row r="494" spans="1:50">
      <c r="A494">
        <v>523</v>
      </c>
      <c r="B494" t="s">
        <v>1228</v>
      </c>
      <c r="C494" t="s">
        <v>1228</v>
      </c>
      <c r="D494">
        <v>0</v>
      </c>
      <c r="E494">
        <v>0</v>
      </c>
      <c r="F494">
        <v>0</v>
      </c>
      <c r="G494">
        <v>510</v>
      </c>
      <c r="H494">
        <v>0</v>
      </c>
      <c r="I494">
        <v>0</v>
      </c>
      <c r="J494">
        <v>0</v>
      </c>
      <c r="K494">
        <v>9</v>
      </c>
      <c r="L494">
        <v>4</v>
      </c>
      <c r="M494">
        <v>70</v>
      </c>
      <c r="N494">
        <v>70</v>
      </c>
      <c r="O494">
        <v>0</v>
      </c>
      <c r="P494">
        <v>35</v>
      </c>
      <c r="Q494">
        <v>0</v>
      </c>
      <c r="R494">
        <v>10</v>
      </c>
      <c r="S494">
        <v>15</v>
      </c>
      <c r="T494">
        <v>0</v>
      </c>
      <c r="U494">
        <v>5</v>
      </c>
      <c r="V494">
        <v>30</v>
      </c>
      <c r="W494">
        <v>0</v>
      </c>
      <c r="X494">
        <v>10</v>
      </c>
      <c r="Y494">
        <v>0</v>
      </c>
      <c r="Z494">
        <v>0</v>
      </c>
      <c r="AA494">
        <v>0</v>
      </c>
      <c r="AB494">
        <v>0</v>
      </c>
      <c r="AC494">
        <v>0</v>
      </c>
      <c r="AD494">
        <v>15</v>
      </c>
      <c r="AE494">
        <v>35</v>
      </c>
      <c r="AF494">
        <v>10</v>
      </c>
      <c r="AG494">
        <v>10</v>
      </c>
      <c r="AH494">
        <v>0</v>
      </c>
      <c r="AI494">
        <v>30</v>
      </c>
      <c r="AJ494">
        <v>520</v>
      </c>
      <c r="AK494">
        <v>523</v>
      </c>
      <c r="AL494">
        <v>516</v>
      </c>
      <c r="AM494">
        <v>-1</v>
      </c>
      <c r="AN494">
        <v>24</v>
      </c>
      <c r="AO494">
        <v>24</v>
      </c>
      <c r="AP494">
        <v>24</v>
      </c>
      <c r="AQ494">
        <v>0</v>
      </c>
      <c r="AR494">
        <f t="shared" si="1499"/>
        <v>72</v>
      </c>
      <c r="AS494">
        <f>IF(AND(IFERROR(VLOOKUP(AJ494,Equip!$A:$N,13,FALSE),0)&gt;=5,IFERROR(VLOOKUP(AJ494,Equip!$A:$N,13,FALSE),0)&lt;=9),INT(VLOOKUP(AJ494,Equip!$A:$N,6,FALSE)*SQRT(AN494)),0)</f>
        <v>0</v>
      </c>
      <c r="AT494">
        <f>IF(AND(IFERROR(VLOOKUP(AK494,Equip!$A:$N,13,FALSE),0)&gt;=5,IFERROR(VLOOKUP(AK494,Equip!$A:$N,13,FALSE),0)&lt;=9),INT(VLOOKUP(AK494,Equip!$A:$N,6,FALSE)*SQRT(AO494)),0)</f>
        <v>0</v>
      </c>
      <c r="AU494">
        <f>IF(AND(IFERROR(VLOOKUP(AL494,Equip!$A:$N,13,FALSE),0)&gt;=5,IFERROR(VLOOKUP(AL494,Equip!$A:$N,13,FALSE),0)&lt;=9),INT(VLOOKUP(AL494,Equip!$A:$N,6,FALSE)*SQRT(AP494)),0)</f>
        <v>0</v>
      </c>
      <c r="AV494">
        <f>IF(AND(IFERROR(VLOOKUP(AM494,Equip!$A:$N,13,FALSE),0)&gt;=5,IFERROR(VLOOKUP(AM494,Equip!$A:$N,13,FALSE),0)&lt;=9),INT(VLOOKUP(AM494,Equip!$A:$N,6,FALSE)*SQRT(AQ494)),0)</f>
        <v>0</v>
      </c>
      <c r="AW494">
        <f t="shared" si="1500"/>
        <v>0</v>
      </c>
      <c r="AX494">
        <f t="shared" si="1501"/>
        <v>160</v>
      </c>
    </row>
    <row r="495" spans="1:50">
      <c r="A495">
        <v>524</v>
      </c>
      <c r="B495" t="s">
        <v>1229</v>
      </c>
      <c r="C495" t="s">
        <v>1229</v>
      </c>
      <c r="D495">
        <v>0</v>
      </c>
      <c r="E495">
        <v>0</v>
      </c>
      <c r="F495">
        <v>0</v>
      </c>
      <c r="G495">
        <v>511</v>
      </c>
      <c r="H495">
        <v>0</v>
      </c>
      <c r="I495">
        <v>0</v>
      </c>
      <c r="J495">
        <v>0</v>
      </c>
      <c r="K495">
        <v>8</v>
      </c>
      <c r="L495">
        <v>10</v>
      </c>
      <c r="M495">
        <v>90</v>
      </c>
      <c r="N495">
        <v>90</v>
      </c>
      <c r="O495">
        <v>85</v>
      </c>
      <c r="P495">
        <v>85</v>
      </c>
      <c r="Q495">
        <v>0</v>
      </c>
      <c r="R495">
        <v>16</v>
      </c>
      <c r="S495">
        <v>70</v>
      </c>
      <c r="T495">
        <v>0</v>
      </c>
      <c r="U495">
        <v>5</v>
      </c>
      <c r="V495">
        <v>20</v>
      </c>
      <c r="W495">
        <v>3</v>
      </c>
      <c r="X495">
        <v>10</v>
      </c>
      <c r="Y495">
        <v>0</v>
      </c>
      <c r="Z495">
        <v>0</v>
      </c>
      <c r="AA495">
        <v>0</v>
      </c>
      <c r="AB495">
        <v>85</v>
      </c>
      <c r="AC495">
        <v>0</v>
      </c>
      <c r="AD495">
        <v>70</v>
      </c>
      <c r="AE495">
        <v>85</v>
      </c>
      <c r="AF495">
        <v>10</v>
      </c>
      <c r="AG495">
        <v>16</v>
      </c>
      <c r="AH495">
        <v>0</v>
      </c>
      <c r="AI495">
        <v>20</v>
      </c>
      <c r="AJ495">
        <v>509</v>
      </c>
      <c r="AK495">
        <v>509</v>
      </c>
      <c r="AL495">
        <v>512</v>
      </c>
      <c r="AM495">
        <v>528</v>
      </c>
      <c r="AN495">
        <v>3</v>
      </c>
      <c r="AO495">
        <v>3</v>
      </c>
      <c r="AP495">
        <v>3</v>
      </c>
      <c r="AQ495">
        <v>3</v>
      </c>
      <c r="AR495">
        <f t="shared" si="1499"/>
        <v>12</v>
      </c>
      <c r="AS495">
        <f>IF(AND(IFERROR(VLOOKUP(AJ495,Equip!$A:$N,13,FALSE),0)&gt;=5,IFERROR(VLOOKUP(AJ495,Equip!$A:$N,13,FALSE),0)&lt;=9),INT(VLOOKUP(AJ495,Equip!$A:$N,6,FALSE)*SQRT(AN495)),0)</f>
        <v>0</v>
      </c>
      <c r="AT495">
        <f>IF(AND(IFERROR(VLOOKUP(AK495,Equip!$A:$N,13,FALSE),0)&gt;=5,IFERROR(VLOOKUP(AK495,Equip!$A:$N,13,FALSE),0)&lt;=9),INT(VLOOKUP(AK495,Equip!$A:$N,6,FALSE)*SQRT(AO495)),0)</f>
        <v>0</v>
      </c>
      <c r="AU495">
        <f>IF(AND(IFERROR(VLOOKUP(AL495,Equip!$A:$N,13,FALSE),0)&gt;=5,IFERROR(VLOOKUP(AL495,Equip!$A:$N,13,FALSE),0)&lt;=9),INT(VLOOKUP(AL495,Equip!$A:$N,6,FALSE)*SQRT(AP495)),0)</f>
        <v>0</v>
      </c>
      <c r="AV495">
        <f>IF(AND(IFERROR(VLOOKUP(AM495,Equip!$A:$N,13,FALSE),0)&gt;=5,IFERROR(VLOOKUP(AM495,Equip!$A:$N,13,FALSE),0)&lt;=9),INT(VLOOKUP(AM495,Equip!$A:$N,6,FALSE)*SQRT(AQ495)),0)</f>
        <v>0</v>
      </c>
      <c r="AW495">
        <f t="shared" si="1500"/>
        <v>0</v>
      </c>
      <c r="AX495">
        <f t="shared" si="1501"/>
        <v>366</v>
      </c>
    </row>
    <row r="496" spans="1:50">
      <c r="A496">
        <v>525</v>
      </c>
      <c r="B496" t="s">
        <v>1230</v>
      </c>
      <c r="C496" t="s">
        <v>1230</v>
      </c>
      <c r="D496">
        <v>0</v>
      </c>
      <c r="E496">
        <v>0</v>
      </c>
      <c r="F496">
        <v>0</v>
      </c>
      <c r="G496">
        <v>512</v>
      </c>
      <c r="H496">
        <v>0</v>
      </c>
      <c r="I496">
        <v>0</v>
      </c>
      <c r="J496">
        <v>0</v>
      </c>
      <c r="K496">
        <v>12</v>
      </c>
      <c r="L496">
        <v>4</v>
      </c>
      <c r="M496">
        <v>88</v>
      </c>
      <c r="N496">
        <v>88</v>
      </c>
      <c r="O496">
        <v>0</v>
      </c>
      <c r="P496">
        <v>55</v>
      </c>
      <c r="Q496">
        <v>0</v>
      </c>
      <c r="R496">
        <v>12</v>
      </c>
      <c r="S496">
        <v>40</v>
      </c>
      <c r="T496">
        <v>0</v>
      </c>
      <c r="U496">
        <v>10</v>
      </c>
      <c r="V496">
        <v>50</v>
      </c>
      <c r="W496">
        <v>0</v>
      </c>
      <c r="X496">
        <v>10</v>
      </c>
      <c r="Y496">
        <v>0</v>
      </c>
      <c r="Z496">
        <v>0</v>
      </c>
      <c r="AA496">
        <v>0</v>
      </c>
      <c r="AB496">
        <v>0</v>
      </c>
      <c r="AC496">
        <v>0</v>
      </c>
      <c r="AD496">
        <v>40</v>
      </c>
      <c r="AE496">
        <v>55</v>
      </c>
      <c r="AF496">
        <v>10</v>
      </c>
      <c r="AG496">
        <v>12</v>
      </c>
      <c r="AH496">
        <v>0</v>
      </c>
      <c r="AI496">
        <v>50</v>
      </c>
      <c r="AJ496">
        <v>520</v>
      </c>
      <c r="AK496">
        <v>524</v>
      </c>
      <c r="AL496">
        <v>517</v>
      </c>
      <c r="AM496">
        <v>-1</v>
      </c>
      <c r="AN496">
        <v>30</v>
      </c>
      <c r="AO496">
        <v>30</v>
      </c>
      <c r="AP496">
        <v>30</v>
      </c>
      <c r="AQ496">
        <v>0</v>
      </c>
      <c r="AR496">
        <f t="shared" si="1499"/>
        <v>90</v>
      </c>
      <c r="AS496">
        <f>IF(AND(IFERROR(VLOOKUP(AJ496,Equip!$A:$N,13,FALSE),0)&gt;=5,IFERROR(VLOOKUP(AJ496,Equip!$A:$N,13,FALSE),0)&lt;=9),INT(VLOOKUP(AJ496,Equip!$A:$N,6,FALSE)*SQRT(AN496)),0)</f>
        <v>0</v>
      </c>
      <c r="AT496">
        <f>IF(AND(IFERROR(VLOOKUP(AK496,Equip!$A:$N,13,FALSE),0)&gt;=5,IFERROR(VLOOKUP(AK496,Equip!$A:$N,13,FALSE),0)&lt;=9),INT(VLOOKUP(AK496,Equip!$A:$N,6,FALSE)*SQRT(AO496)),0)</f>
        <v>0</v>
      </c>
      <c r="AU496">
        <f>IF(AND(IFERROR(VLOOKUP(AL496,Equip!$A:$N,13,FALSE),0)&gt;=5,IFERROR(VLOOKUP(AL496,Equip!$A:$N,13,FALSE),0)&lt;=9),INT(VLOOKUP(AL496,Equip!$A:$N,6,FALSE)*SQRT(AP496)),0)</f>
        <v>0</v>
      </c>
      <c r="AV496">
        <f>IF(AND(IFERROR(VLOOKUP(AM496,Equip!$A:$N,13,FALSE),0)&gt;=5,IFERROR(VLOOKUP(AM496,Equip!$A:$N,13,FALSE),0)&lt;=9),INT(VLOOKUP(AM496,Equip!$A:$N,6,FALSE)*SQRT(AQ496)),0)</f>
        <v>0</v>
      </c>
      <c r="AW496">
        <f t="shared" si="1500"/>
        <v>0</v>
      </c>
      <c r="AX496">
        <f t="shared" si="1501"/>
        <v>245</v>
      </c>
    </row>
    <row r="497" spans="1:50">
      <c r="A497">
        <v>526</v>
      </c>
      <c r="B497" t="s">
        <v>1231</v>
      </c>
      <c r="C497" t="s">
        <v>1231</v>
      </c>
      <c r="D497">
        <v>0</v>
      </c>
      <c r="E497">
        <v>0</v>
      </c>
      <c r="F497">
        <v>0</v>
      </c>
      <c r="G497">
        <v>513</v>
      </c>
      <c r="H497">
        <v>0</v>
      </c>
      <c r="I497">
        <v>0</v>
      </c>
      <c r="J497">
        <v>0</v>
      </c>
      <c r="K497">
        <v>18</v>
      </c>
      <c r="L497">
        <v>4</v>
      </c>
      <c r="M497">
        <v>80</v>
      </c>
      <c r="N497">
        <v>80</v>
      </c>
      <c r="O497">
        <v>15</v>
      </c>
      <c r="P497">
        <v>35</v>
      </c>
      <c r="Q497">
        <v>0</v>
      </c>
      <c r="R497">
        <v>6</v>
      </c>
      <c r="S497">
        <v>0</v>
      </c>
      <c r="T497">
        <v>0</v>
      </c>
      <c r="U497">
        <v>5</v>
      </c>
      <c r="V497">
        <v>0</v>
      </c>
      <c r="W497">
        <v>1</v>
      </c>
      <c r="X497">
        <v>10</v>
      </c>
      <c r="Y497">
        <v>0</v>
      </c>
      <c r="Z497">
        <v>0</v>
      </c>
      <c r="AA497">
        <v>0</v>
      </c>
      <c r="AB497">
        <v>15</v>
      </c>
      <c r="AC497">
        <v>0</v>
      </c>
      <c r="AD497">
        <v>0</v>
      </c>
      <c r="AE497">
        <v>35</v>
      </c>
      <c r="AF497">
        <v>10</v>
      </c>
      <c r="AG497">
        <v>6</v>
      </c>
      <c r="AH497">
        <v>0</v>
      </c>
      <c r="AI497">
        <v>0</v>
      </c>
      <c r="AJ497">
        <v>501</v>
      </c>
      <c r="AK497">
        <v>503</v>
      </c>
      <c r="AL497">
        <v>503</v>
      </c>
      <c r="AM497">
        <v>-1</v>
      </c>
      <c r="AN497">
        <v>0</v>
      </c>
      <c r="AO497">
        <v>0</v>
      </c>
      <c r="AP497">
        <v>0</v>
      </c>
      <c r="AQ497">
        <v>0</v>
      </c>
      <c r="AR497">
        <f t="shared" si="1499"/>
        <v>0</v>
      </c>
      <c r="AS497">
        <f>IF(AND(IFERROR(VLOOKUP(AJ497,Equip!$A:$N,13,FALSE),0)&gt;=5,IFERROR(VLOOKUP(AJ497,Equip!$A:$N,13,FALSE),0)&lt;=9),INT(VLOOKUP(AJ497,Equip!$A:$N,6,FALSE)*SQRT(AN497)),0)</f>
        <v>0</v>
      </c>
      <c r="AT497">
        <f>IF(AND(IFERROR(VLOOKUP(AK497,Equip!$A:$N,13,FALSE),0)&gt;=5,IFERROR(VLOOKUP(AK497,Equip!$A:$N,13,FALSE),0)&lt;=9),INT(VLOOKUP(AK497,Equip!$A:$N,6,FALSE)*SQRT(AO497)),0)</f>
        <v>0</v>
      </c>
      <c r="AU497">
        <f>IF(AND(IFERROR(VLOOKUP(AL497,Equip!$A:$N,13,FALSE),0)&gt;=5,IFERROR(VLOOKUP(AL497,Equip!$A:$N,13,FALSE),0)&lt;=9),INT(VLOOKUP(AL497,Equip!$A:$N,6,FALSE)*SQRT(AP497)),0)</f>
        <v>0</v>
      </c>
      <c r="AV497">
        <f>IF(AND(IFERROR(VLOOKUP(AM497,Equip!$A:$N,13,FALSE),0)&gt;=5,IFERROR(VLOOKUP(AM497,Equip!$A:$N,13,FALSE),0)&lt;=9),INT(VLOOKUP(AM497,Equip!$A:$N,6,FALSE)*SQRT(AQ497)),0)</f>
        <v>0</v>
      </c>
      <c r="AW497">
        <f t="shared" si="1500"/>
        <v>0</v>
      </c>
      <c r="AX497">
        <f t="shared" si="1501"/>
        <v>136</v>
      </c>
    </row>
    <row r="498" spans="1:50">
      <c r="A498">
        <v>527</v>
      </c>
      <c r="B498" t="s">
        <v>1232</v>
      </c>
      <c r="C498" t="s">
        <v>1232</v>
      </c>
      <c r="D498">
        <v>0</v>
      </c>
      <c r="E498">
        <v>0</v>
      </c>
      <c r="F498">
        <v>0</v>
      </c>
      <c r="G498">
        <v>509</v>
      </c>
      <c r="H498">
        <v>0</v>
      </c>
      <c r="I498">
        <v>0</v>
      </c>
      <c r="J498">
        <v>0</v>
      </c>
      <c r="K498">
        <v>3</v>
      </c>
      <c r="L498">
        <v>4</v>
      </c>
      <c r="M498">
        <v>76</v>
      </c>
      <c r="N498">
        <v>76</v>
      </c>
      <c r="O498">
        <v>68</v>
      </c>
      <c r="P498">
        <v>70</v>
      </c>
      <c r="Q498">
        <v>48</v>
      </c>
      <c r="R498">
        <v>50</v>
      </c>
      <c r="S498">
        <v>40</v>
      </c>
      <c r="T498">
        <v>0</v>
      </c>
      <c r="U498">
        <v>10</v>
      </c>
      <c r="V498">
        <v>20</v>
      </c>
      <c r="W498">
        <v>2</v>
      </c>
      <c r="X498">
        <v>20</v>
      </c>
      <c r="Y498">
        <v>5</v>
      </c>
      <c r="Z498">
        <v>0</v>
      </c>
      <c r="AA498">
        <v>0</v>
      </c>
      <c r="AB498">
        <v>68</v>
      </c>
      <c r="AC498">
        <v>48</v>
      </c>
      <c r="AD498">
        <v>40</v>
      </c>
      <c r="AE498">
        <v>70</v>
      </c>
      <c r="AF498">
        <v>20</v>
      </c>
      <c r="AG498">
        <v>50</v>
      </c>
      <c r="AH498">
        <v>0</v>
      </c>
      <c r="AI498">
        <v>20</v>
      </c>
      <c r="AJ498">
        <v>505</v>
      </c>
      <c r="AK498">
        <v>506</v>
      </c>
      <c r="AL498">
        <v>515</v>
      </c>
      <c r="AM498">
        <v>525</v>
      </c>
      <c r="AN498">
        <v>4</v>
      </c>
      <c r="AO498">
        <v>4</v>
      </c>
      <c r="AP498">
        <v>4</v>
      </c>
      <c r="AQ498">
        <v>4</v>
      </c>
      <c r="AR498">
        <f t="shared" si="1499"/>
        <v>16</v>
      </c>
      <c r="AS498">
        <f>IF(AND(IFERROR(VLOOKUP(AJ498,Equip!$A:$N,13,FALSE),0)&gt;=5,IFERROR(VLOOKUP(AJ498,Equip!$A:$N,13,FALSE),0)&lt;=9),INT(VLOOKUP(AJ498,Equip!$A:$N,6,FALSE)*SQRT(AN498)),0)</f>
        <v>0</v>
      </c>
      <c r="AT498">
        <f>IF(AND(IFERROR(VLOOKUP(AK498,Equip!$A:$N,13,FALSE),0)&gt;=5,IFERROR(VLOOKUP(AK498,Equip!$A:$N,13,FALSE),0)&lt;=9),INT(VLOOKUP(AK498,Equip!$A:$N,6,FALSE)*SQRT(AO498)),0)</f>
        <v>0</v>
      </c>
      <c r="AU498">
        <f>IF(AND(IFERROR(VLOOKUP(AL498,Equip!$A:$N,13,FALSE),0)&gt;=5,IFERROR(VLOOKUP(AL498,Equip!$A:$N,13,FALSE),0)&lt;=9),INT(VLOOKUP(AL498,Equip!$A:$N,6,FALSE)*SQRT(AP498)),0)</f>
        <v>0</v>
      </c>
      <c r="AV498">
        <f>IF(AND(IFERROR(VLOOKUP(AM498,Equip!$A:$N,13,FALSE),0)&gt;=5,IFERROR(VLOOKUP(AM498,Equip!$A:$N,13,FALSE),0)&lt;=9),INT(VLOOKUP(AM498,Equip!$A:$N,6,FALSE)*SQRT(AQ498)),0)</f>
        <v>0</v>
      </c>
      <c r="AW498">
        <f t="shared" si="1500"/>
        <v>0</v>
      </c>
      <c r="AX498">
        <f t="shared" si="1501"/>
        <v>372</v>
      </c>
    </row>
    <row r="499" spans="1:50">
      <c r="A499">
        <v>528</v>
      </c>
      <c r="B499" t="s">
        <v>1233</v>
      </c>
      <c r="C499" t="s">
        <v>1233</v>
      </c>
      <c r="D499">
        <v>0</v>
      </c>
      <c r="E499">
        <v>0</v>
      </c>
      <c r="F499">
        <v>0</v>
      </c>
      <c r="G499">
        <v>512</v>
      </c>
      <c r="H499">
        <v>0</v>
      </c>
      <c r="I499">
        <v>0</v>
      </c>
      <c r="J499">
        <v>0</v>
      </c>
      <c r="K499">
        <v>12</v>
      </c>
      <c r="L499">
        <v>4</v>
      </c>
      <c r="M499">
        <v>96</v>
      </c>
      <c r="N499">
        <v>96</v>
      </c>
      <c r="O499">
        <v>25</v>
      </c>
      <c r="P499">
        <v>80</v>
      </c>
      <c r="Q499">
        <v>0</v>
      </c>
      <c r="R499">
        <v>45</v>
      </c>
      <c r="S499">
        <v>50</v>
      </c>
      <c r="T499">
        <v>0</v>
      </c>
      <c r="U499">
        <v>10</v>
      </c>
      <c r="V499">
        <v>50</v>
      </c>
      <c r="W499">
        <v>0</v>
      </c>
      <c r="X499">
        <v>20</v>
      </c>
      <c r="Y499">
        <v>5</v>
      </c>
      <c r="Z499">
        <v>0</v>
      </c>
      <c r="AA499">
        <v>0</v>
      </c>
      <c r="AB499">
        <v>25</v>
      </c>
      <c r="AC499">
        <v>0</v>
      </c>
      <c r="AD499">
        <v>50</v>
      </c>
      <c r="AE499">
        <v>80</v>
      </c>
      <c r="AF499">
        <v>20</v>
      </c>
      <c r="AG499">
        <v>45</v>
      </c>
      <c r="AH499">
        <v>0</v>
      </c>
      <c r="AI499">
        <v>50</v>
      </c>
      <c r="AJ499">
        <v>520</v>
      </c>
      <c r="AK499">
        <v>517</v>
      </c>
      <c r="AL499">
        <v>524</v>
      </c>
      <c r="AM499">
        <v>-1</v>
      </c>
      <c r="AN499">
        <v>32</v>
      </c>
      <c r="AO499">
        <v>32</v>
      </c>
      <c r="AP499">
        <v>32</v>
      </c>
      <c r="AQ499">
        <v>0</v>
      </c>
      <c r="AR499">
        <f t="shared" si="1499"/>
        <v>96</v>
      </c>
      <c r="AS499">
        <f>IF(AND(IFERROR(VLOOKUP(AJ499,Equip!$A:$N,13,FALSE),0)&gt;=5,IFERROR(VLOOKUP(AJ499,Equip!$A:$N,13,FALSE),0)&lt;=9),INT(VLOOKUP(AJ499,Equip!$A:$N,6,FALSE)*SQRT(AN499)),0)</f>
        <v>0</v>
      </c>
      <c r="AT499">
        <f>IF(AND(IFERROR(VLOOKUP(AK499,Equip!$A:$N,13,FALSE),0)&gt;=5,IFERROR(VLOOKUP(AK499,Equip!$A:$N,13,FALSE),0)&lt;=9),INT(VLOOKUP(AK499,Equip!$A:$N,6,FALSE)*SQRT(AO499)),0)</f>
        <v>0</v>
      </c>
      <c r="AU499">
        <f>IF(AND(IFERROR(VLOOKUP(AL499,Equip!$A:$N,13,FALSE),0)&gt;=5,IFERROR(VLOOKUP(AL499,Equip!$A:$N,13,FALSE),0)&lt;=9),INT(VLOOKUP(AL499,Equip!$A:$N,6,FALSE)*SQRT(AP499)),0)</f>
        <v>0</v>
      </c>
      <c r="AV499">
        <f>IF(AND(IFERROR(VLOOKUP(AM499,Equip!$A:$N,13,FALSE),0)&gt;=5,IFERROR(VLOOKUP(AM499,Equip!$A:$N,13,FALSE),0)&lt;=9),INT(VLOOKUP(AM499,Equip!$A:$N,6,FALSE)*SQRT(AQ499)),0)</f>
        <v>0</v>
      </c>
      <c r="AW499">
        <f t="shared" si="1500"/>
        <v>0</v>
      </c>
      <c r="AX499">
        <f t="shared" si="1501"/>
        <v>346</v>
      </c>
    </row>
    <row r="500" spans="1:50">
      <c r="A500">
        <v>529</v>
      </c>
      <c r="B500" t="s">
        <v>1234</v>
      </c>
      <c r="C500" t="s">
        <v>1234</v>
      </c>
      <c r="D500">
        <v>0</v>
      </c>
      <c r="E500">
        <v>0</v>
      </c>
      <c r="F500">
        <v>0</v>
      </c>
      <c r="G500">
        <v>511</v>
      </c>
      <c r="H500">
        <v>0</v>
      </c>
      <c r="I500">
        <v>0</v>
      </c>
      <c r="J500">
        <v>0</v>
      </c>
      <c r="K500">
        <v>8</v>
      </c>
      <c r="L500">
        <v>10</v>
      </c>
      <c r="M500">
        <v>98</v>
      </c>
      <c r="N500">
        <v>98</v>
      </c>
      <c r="O500">
        <v>90</v>
      </c>
      <c r="P500">
        <v>85</v>
      </c>
      <c r="Q500">
        <v>0</v>
      </c>
      <c r="R500">
        <v>40</v>
      </c>
      <c r="S500">
        <v>80</v>
      </c>
      <c r="T500">
        <v>0</v>
      </c>
      <c r="U500">
        <v>5</v>
      </c>
      <c r="V500">
        <v>30</v>
      </c>
      <c r="W500">
        <v>3</v>
      </c>
      <c r="X500">
        <v>20</v>
      </c>
      <c r="Y500">
        <v>5</v>
      </c>
      <c r="Z500">
        <v>0</v>
      </c>
      <c r="AA500">
        <v>0</v>
      </c>
      <c r="AB500">
        <v>90</v>
      </c>
      <c r="AC500">
        <v>0</v>
      </c>
      <c r="AD500">
        <v>80</v>
      </c>
      <c r="AE500">
        <v>85</v>
      </c>
      <c r="AF500">
        <v>20</v>
      </c>
      <c r="AG500">
        <v>40</v>
      </c>
      <c r="AH500">
        <v>0</v>
      </c>
      <c r="AI500">
        <v>30</v>
      </c>
      <c r="AJ500">
        <v>509</v>
      </c>
      <c r="AK500">
        <v>509</v>
      </c>
      <c r="AL500">
        <v>525</v>
      </c>
      <c r="AM500">
        <v>528</v>
      </c>
      <c r="AN500">
        <v>5</v>
      </c>
      <c r="AO500">
        <v>5</v>
      </c>
      <c r="AP500">
        <v>5</v>
      </c>
      <c r="AQ500">
        <v>5</v>
      </c>
      <c r="AR500">
        <f t="shared" si="1499"/>
        <v>20</v>
      </c>
      <c r="AS500">
        <f>IF(AND(IFERROR(VLOOKUP(AJ500,Equip!$A:$N,13,FALSE),0)&gt;=5,IFERROR(VLOOKUP(AJ500,Equip!$A:$N,13,FALSE),0)&lt;=9),INT(VLOOKUP(AJ500,Equip!$A:$N,6,FALSE)*SQRT(AN500)),0)</f>
        <v>0</v>
      </c>
      <c r="AT500">
        <f>IF(AND(IFERROR(VLOOKUP(AK500,Equip!$A:$N,13,FALSE),0)&gt;=5,IFERROR(VLOOKUP(AK500,Equip!$A:$N,13,FALSE),0)&lt;=9),INT(VLOOKUP(AK500,Equip!$A:$N,6,FALSE)*SQRT(AO500)),0)</f>
        <v>0</v>
      </c>
      <c r="AU500">
        <f>IF(AND(IFERROR(VLOOKUP(AL500,Equip!$A:$N,13,FALSE),0)&gt;=5,IFERROR(VLOOKUP(AL500,Equip!$A:$N,13,FALSE),0)&lt;=9),INT(VLOOKUP(AL500,Equip!$A:$N,6,FALSE)*SQRT(AP500)),0)</f>
        <v>0</v>
      </c>
      <c r="AV500">
        <f>IF(AND(IFERROR(VLOOKUP(AM500,Equip!$A:$N,13,FALSE),0)&gt;=5,IFERROR(VLOOKUP(AM500,Equip!$A:$N,13,FALSE),0)&lt;=9),INT(VLOOKUP(AM500,Equip!$A:$N,6,FALSE)*SQRT(AQ500)),0)</f>
        <v>0</v>
      </c>
      <c r="AW500">
        <f t="shared" si="1500"/>
        <v>0</v>
      </c>
      <c r="AX500">
        <f t="shared" si="1501"/>
        <v>423</v>
      </c>
    </row>
    <row r="501" spans="1:50">
      <c r="A501">
        <v>530</v>
      </c>
      <c r="B501" t="s">
        <v>946</v>
      </c>
      <c r="C501" t="s">
        <v>946</v>
      </c>
      <c r="D501">
        <v>0</v>
      </c>
      <c r="E501">
        <v>0</v>
      </c>
      <c r="F501">
        <v>0</v>
      </c>
      <c r="G501">
        <v>530</v>
      </c>
      <c r="H501">
        <v>0</v>
      </c>
      <c r="I501">
        <v>0</v>
      </c>
      <c r="J501">
        <v>0</v>
      </c>
      <c r="K501">
        <v>14</v>
      </c>
      <c r="L501">
        <v>1</v>
      </c>
      <c r="M501">
        <v>19</v>
      </c>
      <c r="N501">
        <v>19</v>
      </c>
      <c r="O501">
        <v>0</v>
      </c>
      <c r="P501">
        <v>7</v>
      </c>
      <c r="Q501">
        <v>42</v>
      </c>
      <c r="R501">
        <v>1</v>
      </c>
      <c r="S501">
        <v>0</v>
      </c>
      <c r="T501">
        <v>0</v>
      </c>
      <c r="U501">
        <v>5</v>
      </c>
      <c r="V501">
        <v>6</v>
      </c>
      <c r="W501">
        <v>1</v>
      </c>
      <c r="X501">
        <v>1</v>
      </c>
      <c r="Y501">
        <v>0</v>
      </c>
      <c r="Z501">
        <v>0</v>
      </c>
      <c r="AA501">
        <v>0</v>
      </c>
      <c r="AB501">
        <v>0</v>
      </c>
      <c r="AC501">
        <v>42</v>
      </c>
      <c r="AD501">
        <v>0</v>
      </c>
      <c r="AE501">
        <v>7</v>
      </c>
      <c r="AF501">
        <v>1</v>
      </c>
      <c r="AG501">
        <v>1</v>
      </c>
      <c r="AH501">
        <v>0</v>
      </c>
      <c r="AI501">
        <v>6</v>
      </c>
      <c r="AJ501">
        <v>513</v>
      </c>
      <c r="AK501">
        <v>513</v>
      </c>
      <c r="AL501">
        <v>-1</v>
      </c>
      <c r="AM501">
        <v>-1</v>
      </c>
      <c r="AN501">
        <v>0</v>
      </c>
      <c r="AO501">
        <v>0</v>
      </c>
      <c r="AP501">
        <v>0</v>
      </c>
      <c r="AQ501">
        <v>0</v>
      </c>
      <c r="AR501">
        <f t="shared" si="1499"/>
        <v>0</v>
      </c>
      <c r="AS501">
        <f>IF(AND(IFERROR(VLOOKUP(AJ501,Equip!$A:$N,13,FALSE),0)&gt;=5,IFERROR(VLOOKUP(AJ501,Equip!$A:$N,13,FALSE),0)&lt;=9),INT(VLOOKUP(AJ501,Equip!$A:$N,6,FALSE)*SQRT(AN501)),0)</f>
        <v>0</v>
      </c>
      <c r="AT501">
        <f>IF(AND(IFERROR(VLOOKUP(AK501,Equip!$A:$N,13,FALSE),0)&gt;=5,IFERROR(VLOOKUP(AK501,Equip!$A:$N,13,FALSE),0)&lt;=9),INT(VLOOKUP(AK501,Equip!$A:$N,6,FALSE)*SQRT(AO501)),0)</f>
        <v>0</v>
      </c>
      <c r="AU501">
        <f>IF(AND(IFERROR(VLOOKUP(AL501,Equip!$A:$N,13,FALSE),0)&gt;=5,IFERROR(VLOOKUP(AL501,Equip!$A:$N,13,FALSE),0)&lt;=9),INT(VLOOKUP(AL501,Equip!$A:$N,6,FALSE)*SQRT(AP501)),0)</f>
        <v>0</v>
      </c>
      <c r="AV501">
        <f>IF(AND(IFERROR(VLOOKUP(AM501,Equip!$A:$N,13,FALSE),0)&gt;=5,IFERROR(VLOOKUP(AM501,Equip!$A:$N,13,FALSE),0)&lt;=9),INT(VLOOKUP(AM501,Equip!$A:$N,6,FALSE)*SQRT(AQ501)),0)</f>
        <v>0</v>
      </c>
      <c r="AW501">
        <f t="shared" si="1500"/>
        <v>0</v>
      </c>
      <c r="AX501">
        <f t="shared" si="1501"/>
        <v>75</v>
      </c>
    </row>
    <row r="502" spans="1:50">
      <c r="A502">
        <v>531</v>
      </c>
      <c r="B502" t="s">
        <v>947</v>
      </c>
      <c r="C502" t="s">
        <v>947</v>
      </c>
      <c r="D502">
        <v>0</v>
      </c>
      <c r="E502">
        <v>0</v>
      </c>
      <c r="F502">
        <v>0</v>
      </c>
      <c r="G502">
        <v>531</v>
      </c>
      <c r="H502">
        <v>0</v>
      </c>
      <c r="I502">
        <v>0</v>
      </c>
      <c r="J502">
        <v>0</v>
      </c>
      <c r="K502">
        <v>14</v>
      </c>
      <c r="L502">
        <v>1</v>
      </c>
      <c r="M502">
        <v>24</v>
      </c>
      <c r="N502">
        <v>24</v>
      </c>
      <c r="O502">
        <v>0</v>
      </c>
      <c r="P502">
        <v>9</v>
      </c>
      <c r="Q502">
        <v>52</v>
      </c>
      <c r="R502">
        <v>1</v>
      </c>
      <c r="S502">
        <v>0</v>
      </c>
      <c r="T502">
        <v>0</v>
      </c>
      <c r="U502">
        <v>5</v>
      </c>
      <c r="V502">
        <v>7</v>
      </c>
      <c r="W502">
        <v>1</v>
      </c>
      <c r="X502">
        <v>5</v>
      </c>
      <c r="Y502">
        <v>5</v>
      </c>
      <c r="Z502">
        <v>0</v>
      </c>
      <c r="AA502">
        <v>0</v>
      </c>
      <c r="AB502">
        <v>0</v>
      </c>
      <c r="AC502">
        <v>52</v>
      </c>
      <c r="AD502">
        <v>0</v>
      </c>
      <c r="AE502">
        <v>9</v>
      </c>
      <c r="AF502">
        <v>5</v>
      </c>
      <c r="AG502">
        <v>1</v>
      </c>
      <c r="AH502">
        <v>0</v>
      </c>
      <c r="AI502">
        <v>7</v>
      </c>
      <c r="AJ502">
        <v>514</v>
      </c>
      <c r="AK502">
        <v>514</v>
      </c>
      <c r="AL502">
        <v>-1</v>
      </c>
      <c r="AM502">
        <v>-1</v>
      </c>
      <c r="AN502">
        <v>0</v>
      </c>
      <c r="AO502">
        <v>0</v>
      </c>
      <c r="AP502">
        <v>0</v>
      </c>
      <c r="AQ502">
        <v>0</v>
      </c>
      <c r="AR502">
        <f t="shared" si="1499"/>
        <v>0</v>
      </c>
      <c r="AS502">
        <f>IF(AND(IFERROR(VLOOKUP(AJ502,Equip!$A:$N,13,FALSE),0)&gt;=5,IFERROR(VLOOKUP(AJ502,Equip!$A:$N,13,FALSE),0)&lt;=9),INT(VLOOKUP(AJ502,Equip!$A:$N,6,FALSE)*SQRT(AN502)),0)</f>
        <v>0</v>
      </c>
      <c r="AT502">
        <f>IF(AND(IFERROR(VLOOKUP(AK502,Equip!$A:$N,13,FALSE),0)&gt;=5,IFERROR(VLOOKUP(AK502,Equip!$A:$N,13,FALSE),0)&lt;=9),INT(VLOOKUP(AK502,Equip!$A:$N,6,FALSE)*SQRT(AO502)),0)</f>
        <v>0</v>
      </c>
      <c r="AU502">
        <f>IF(AND(IFERROR(VLOOKUP(AL502,Equip!$A:$N,13,FALSE),0)&gt;=5,IFERROR(VLOOKUP(AL502,Equip!$A:$N,13,FALSE),0)&lt;=9),INT(VLOOKUP(AL502,Equip!$A:$N,6,FALSE)*SQRT(AP502)),0)</f>
        <v>0</v>
      </c>
      <c r="AV502">
        <f>IF(AND(IFERROR(VLOOKUP(AM502,Equip!$A:$N,13,FALSE),0)&gt;=5,IFERROR(VLOOKUP(AM502,Equip!$A:$N,13,FALSE),0)&lt;=9),INT(VLOOKUP(AM502,Equip!$A:$N,6,FALSE)*SQRT(AQ502)),0)</f>
        <v>0</v>
      </c>
      <c r="AW502">
        <f t="shared" si="1500"/>
        <v>0</v>
      </c>
      <c r="AX502">
        <f t="shared" si="1501"/>
        <v>93</v>
      </c>
    </row>
    <row r="503" spans="1:50">
      <c r="A503">
        <v>532</v>
      </c>
      <c r="B503" t="s">
        <v>1235</v>
      </c>
      <c r="C503" t="s">
        <v>1235</v>
      </c>
      <c r="D503">
        <v>0</v>
      </c>
      <c r="E503">
        <v>0</v>
      </c>
      <c r="F503">
        <v>0</v>
      </c>
      <c r="G503">
        <v>530</v>
      </c>
      <c r="H503">
        <v>0</v>
      </c>
      <c r="I503">
        <v>0</v>
      </c>
      <c r="J503">
        <v>0</v>
      </c>
      <c r="K503">
        <v>14</v>
      </c>
      <c r="L503">
        <v>1</v>
      </c>
      <c r="M503">
        <v>27</v>
      </c>
      <c r="N503">
        <v>27</v>
      </c>
      <c r="O503">
        <v>0</v>
      </c>
      <c r="P503">
        <v>21</v>
      </c>
      <c r="Q503">
        <v>64</v>
      </c>
      <c r="R503">
        <v>5</v>
      </c>
      <c r="S503">
        <v>0</v>
      </c>
      <c r="T503">
        <v>0</v>
      </c>
      <c r="U503">
        <v>5</v>
      </c>
      <c r="V503">
        <v>8</v>
      </c>
      <c r="W503">
        <v>1</v>
      </c>
      <c r="X503">
        <v>10</v>
      </c>
      <c r="Y503">
        <v>10</v>
      </c>
      <c r="Z503">
        <v>0</v>
      </c>
      <c r="AA503">
        <v>0</v>
      </c>
      <c r="AB503">
        <v>0</v>
      </c>
      <c r="AC503">
        <v>64</v>
      </c>
      <c r="AD503">
        <v>0</v>
      </c>
      <c r="AE503">
        <v>21</v>
      </c>
      <c r="AF503">
        <v>10</v>
      </c>
      <c r="AG503">
        <v>5</v>
      </c>
      <c r="AH503">
        <v>0</v>
      </c>
      <c r="AI503">
        <v>8</v>
      </c>
      <c r="AJ503">
        <v>515</v>
      </c>
      <c r="AK503">
        <v>513</v>
      </c>
      <c r="AL503">
        <v>513</v>
      </c>
      <c r="AM503">
        <v>-1</v>
      </c>
      <c r="AN503">
        <v>0</v>
      </c>
      <c r="AO503">
        <v>0</v>
      </c>
      <c r="AP503">
        <v>0</v>
      </c>
      <c r="AQ503">
        <v>0</v>
      </c>
      <c r="AR503">
        <f t="shared" si="1499"/>
        <v>0</v>
      </c>
      <c r="AS503">
        <f>IF(AND(IFERROR(VLOOKUP(AJ503,Equip!$A:$N,13,FALSE),0)&gt;=5,IFERROR(VLOOKUP(AJ503,Equip!$A:$N,13,FALSE),0)&lt;=9),INT(VLOOKUP(AJ503,Equip!$A:$N,6,FALSE)*SQRT(AN503)),0)</f>
        <v>0</v>
      </c>
      <c r="AT503">
        <f>IF(AND(IFERROR(VLOOKUP(AK503,Equip!$A:$N,13,FALSE),0)&gt;=5,IFERROR(VLOOKUP(AK503,Equip!$A:$N,13,FALSE),0)&lt;=9),INT(VLOOKUP(AK503,Equip!$A:$N,6,FALSE)*SQRT(AO503)),0)</f>
        <v>0</v>
      </c>
      <c r="AU503">
        <f>IF(AND(IFERROR(VLOOKUP(AL503,Equip!$A:$N,13,FALSE),0)&gt;=5,IFERROR(VLOOKUP(AL503,Equip!$A:$N,13,FALSE),0)&lt;=9),INT(VLOOKUP(AL503,Equip!$A:$N,6,FALSE)*SQRT(AP503)),0)</f>
        <v>0</v>
      </c>
      <c r="AV503">
        <f>IF(AND(IFERROR(VLOOKUP(AM503,Equip!$A:$N,13,FALSE),0)&gt;=5,IFERROR(VLOOKUP(AM503,Equip!$A:$N,13,FALSE),0)&lt;=9),INT(VLOOKUP(AM503,Equip!$A:$N,6,FALSE)*SQRT(AQ503)),0)</f>
        <v>0</v>
      </c>
      <c r="AW503">
        <f t="shared" si="1500"/>
        <v>0</v>
      </c>
      <c r="AX503">
        <f t="shared" si="1501"/>
        <v>125</v>
      </c>
    </row>
    <row r="504" spans="1:50">
      <c r="A504">
        <v>533</v>
      </c>
      <c r="B504" t="s">
        <v>1236</v>
      </c>
      <c r="C504" t="s">
        <v>1236</v>
      </c>
      <c r="D504">
        <v>0</v>
      </c>
      <c r="E504">
        <v>0</v>
      </c>
      <c r="F504">
        <v>0</v>
      </c>
      <c r="G504">
        <v>531</v>
      </c>
      <c r="H504">
        <v>0</v>
      </c>
      <c r="I504">
        <v>0</v>
      </c>
      <c r="J504">
        <v>0</v>
      </c>
      <c r="K504">
        <v>14</v>
      </c>
      <c r="L504">
        <v>1</v>
      </c>
      <c r="M504">
        <v>34</v>
      </c>
      <c r="N504">
        <v>34</v>
      </c>
      <c r="O504">
        <v>0</v>
      </c>
      <c r="P504">
        <v>27</v>
      </c>
      <c r="Q504">
        <v>74</v>
      </c>
      <c r="R504">
        <v>5</v>
      </c>
      <c r="S504">
        <v>0</v>
      </c>
      <c r="T504">
        <v>0</v>
      </c>
      <c r="U504">
        <v>5</v>
      </c>
      <c r="V504">
        <v>9</v>
      </c>
      <c r="W504">
        <v>1</v>
      </c>
      <c r="X504">
        <v>10</v>
      </c>
      <c r="Y504">
        <v>10</v>
      </c>
      <c r="Z504">
        <v>0</v>
      </c>
      <c r="AA504">
        <v>0</v>
      </c>
      <c r="AB504">
        <v>0</v>
      </c>
      <c r="AC504">
        <v>74</v>
      </c>
      <c r="AD504">
        <v>0</v>
      </c>
      <c r="AE504">
        <v>27</v>
      </c>
      <c r="AF504">
        <v>10</v>
      </c>
      <c r="AG504">
        <v>5</v>
      </c>
      <c r="AH504">
        <v>0</v>
      </c>
      <c r="AI504">
        <v>9</v>
      </c>
      <c r="AJ504">
        <v>515</v>
      </c>
      <c r="AK504">
        <v>514</v>
      </c>
      <c r="AL504">
        <v>514</v>
      </c>
      <c r="AM504">
        <v>-1</v>
      </c>
      <c r="AN504">
        <v>0</v>
      </c>
      <c r="AO504">
        <v>0</v>
      </c>
      <c r="AP504">
        <v>0</v>
      </c>
      <c r="AQ504">
        <v>0</v>
      </c>
      <c r="AR504">
        <f t="shared" si="1499"/>
        <v>0</v>
      </c>
      <c r="AS504">
        <f>IF(AND(IFERROR(VLOOKUP(AJ504,Equip!$A:$N,13,FALSE),0)&gt;=5,IFERROR(VLOOKUP(AJ504,Equip!$A:$N,13,FALSE),0)&lt;=9),INT(VLOOKUP(AJ504,Equip!$A:$N,6,FALSE)*SQRT(AN504)),0)</f>
        <v>0</v>
      </c>
      <c r="AT504">
        <f>IF(AND(IFERROR(VLOOKUP(AK504,Equip!$A:$N,13,FALSE),0)&gt;=5,IFERROR(VLOOKUP(AK504,Equip!$A:$N,13,FALSE),0)&lt;=9),INT(VLOOKUP(AK504,Equip!$A:$N,6,FALSE)*SQRT(AO504)),0)</f>
        <v>0</v>
      </c>
      <c r="AU504">
        <f>IF(AND(IFERROR(VLOOKUP(AL504,Equip!$A:$N,13,FALSE),0)&gt;=5,IFERROR(VLOOKUP(AL504,Equip!$A:$N,13,FALSE),0)&lt;=9),INT(VLOOKUP(AL504,Equip!$A:$N,6,FALSE)*SQRT(AP504)),0)</f>
        <v>0</v>
      </c>
      <c r="AV504">
        <f>IF(AND(IFERROR(VLOOKUP(AM504,Equip!$A:$N,13,FALSE),0)&gt;=5,IFERROR(VLOOKUP(AM504,Equip!$A:$N,13,FALSE),0)&lt;=9),INT(VLOOKUP(AM504,Equip!$A:$N,6,FALSE)*SQRT(AQ504)),0)</f>
        <v>0</v>
      </c>
      <c r="AW504">
        <f t="shared" si="1500"/>
        <v>0</v>
      </c>
      <c r="AX504">
        <f t="shared" si="1501"/>
        <v>149</v>
      </c>
    </row>
    <row r="505" spans="1:50">
      <c r="A505">
        <v>534</v>
      </c>
      <c r="B505" t="s">
        <v>1237</v>
      </c>
      <c r="C505" t="s">
        <v>1237</v>
      </c>
      <c r="D505">
        <v>0</v>
      </c>
      <c r="E505">
        <v>0</v>
      </c>
      <c r="F505">
        <v>0</v>
      </c>
      <c r="G505">
        <v>530</v>
      </c>
      <c r="H505">
        <v>0</v>
      </c>
      <c r="I505">
        <v>0</v>
      </c>
      <c r="J505">
        <v>0</v>
      </c>
      <c r="K505">
        <v>14</v>
      </c>
      <c r="L505">
        <v>1</v>
      </c>
      <c r="M505">
        <v>37</v>
      </c>
      <c r="N505">
        <v>37</v>
      </c>
      <c r="O505">
        <v>0</v>
      </c>
      <c r="P505">
        <v>30</v>
      </c>
      <c r="Q505">
        <v>86</v>
      </c>
      <c r="R505">
        <v>10</v>
      </c>
      <c r="S505">
        <v>0</v>
      </c>
      <c r="T505">
        <v>0</v>
      </c>
      <c r="U505">
        <v>5</v>
      </c>
      <c r="V505">
        <v>10</v>
      </c>
      <c r="W505">
        <v>1</v>
      </c>
      <c r="X505">
        <v>20</v>
      </c>
      <c r="Y505">
        <v>15</v>
      </c>
      <c r="Z505">
        <v>0</v>
      </c>
      <c r="AA505">
        <v>0</v>
      </c>
      <c r="AB505">
        <v>0</v>
      </c>
      <c r="AC505">
        <v>86</v>
      </c>
      <c r="AD505">
        <v>0</v>
      </c>
      <c r="AE505">
        <v>30</v>
      </c>
      <c r="AF505">
        <v>20</v>
      </c>
      <c r="AG505">
        <v>10</v>
      </c>
      <c r="AH505">
        <v>0</v>
      </c>
      <c r="AI505">
        <v>10</v>
      </c>
      <c r="AJ505">
        <v>515</v>
      </c>
      <c r="AK505">
        <v>515</v>
      </c>
      <c r="AL505">
        <v>513</v>
      </c>
      <c r="AM505">
        <v>-1</v>
      </c>
      <c r="AN505">
        <v>0</v>
      </c>
      <c r="AO505">
        <v>0</v>
      </c>
      <c r="AP505">
        <v>0</v>
      </c>
      <c r="AQ505">
        <v>0</v>
      </c>
      <c r="AR505">
        <f t="shared" si="1499"/>
        <v>0</v>
      </c>
      <c r="AS505">
        <f>IF(AND(IFERROR(VLOOKUP(AJ505,Equip!$A:$N,13,FALSE),0)&gt;=5,IFERROR(VLOOKUP(AJ505,Equip!$A:$N,13,FALSE),0)&lt;=9),INT(VLOOKUP(AJ505,Equip!$A:$N,6,FALSE)*SQRT(AN505)),0)</f>
        <v>0</v>
      </c>
      <c r="AT505">
        <f>IF(AND(IFERROR(VLOOKUP(AK505,Equip!$A:$N,13,FALSE),0)&gt;=5,IFERROR(VLOOKUP(AK505,Equip!$A:$N,13,FALSE),0)&lt;=9),INT(VLOOKUP(AK505,Equip!$A:$N,6,FALSE)*SQRT(AO505)),0)</f>
        <v>0</v>
      </c>
      <c r="AU505">
        <f>IF(AND(IFERROR(VLOOKUP(AL505,Equip!$A:$N,13,FALSE),0)&gt;=5,IFERROR(VLOOKUP(AL505,Equip!$A:$N,13,FALSE),0)&lt;=9),INT(VLOOKUP(AL505,Equip!$A:$N,6,FALSE)*SQRT(AP505)),0)</f>
        <v>0</v>
      </c>
      <c r="AV505">
        <f>IF(AND(IFERROR(VLOOKUP(AM505,Equip!$A:$N,13,FALSE),0)&gt;=5,IFERROR(VLOOKUP(AM505,Equip!$A:$N,13,FALSE),0)&lt;=9),INT(VLOOKUP(AM505,Equip!$A:$N,6,FALSE)*SQRT(AQ505)),0)</f>
        <v>0</v>
      </c>
      <c r="AW505">
        <f t="shared" si="1500"/>
        <v>0</v>
      </c>
      <c r="AX505">
        <f t="shared" si="1501"/>
        <v>173</v>
      </c>
    </row>
    <row r="506" spans="1:50">
      <c r="A506">
        <v>535</v>
      </c>
      <c r="B506" t="s">
        <v>1238</v>
      </c>
      <c r="C506" t="s">
        <v>1238</v>
      </c>
      <c r="D506">
        <v>0</v>
      </c>
      <c r="E506">
        <v>0</v>
      </c>
      <c r="F506">
        <v>0</v>
      </c>
      <c r="G506">
        <v>531</v>
      </c>
      <c r="H506">
        <v>0</v>
      </c>
      <c r="I506">
        <v>0</v>
      </c>
      <c r="J506">
        <v>0</v>
      </c>
      <c r="K506">
        <v>14</v>
      </c>
      <c r="L506">
        <v>1</v>
      </c>
      <c r="M506">
        <v>44</v>
      </c>
      <c r="N506">
        <v>44</v>
      </c>
      <c r="O506">
        <v>0</v>
      </c>
      <c r="P506">
        <v>36</v>
      </c>
      <c r="Q506">
        <v>96</v>
      </c>
      <c r="R506">
        <v>10</v>
      </c>
      <c r="S506">
        <v>0</v>
      </c>
      <c r="T506">
        <v>0</v>
      </c>
      <c r="U506">
        <v>5</v>
      </c>
      <c r="V506">
        <v>10</v>
      </c>
      <c r="W506">
        <v>1</v>
      </c>
      <c r="X506">
        <v>20</v>
      </c>
      <c r="Y506">
        <v>20</v>
      </c>
      <c r="Z506">
        <v>0</v>
      </c>
      <c r="AA506">
        <v>0</v>
      </c>
      <c r="AB506">
        <v>0</v>
      </c>
      <c r="AC506">
        <v>96</v>
      </c>
      <c r="AD506">
        <v>0</v>
      </c>
      <c r="AE506">
        <v>36</v>
      </c>
      <c r="AF506">
        <v>20</v>
      </c>
      <c r="AG506">
        <v>10</v>
      </c>
      <c r="AH506">
        <v>0</v>
      </c>
      <c r="AI506">
        <v>10</v>
      </c>
      <c r="AJ506">
        <v>515</v>
      </c>
      <c r="AK506">
        <v>515</v>
      </c>
      <c r="AL506">
        <v>514</v>
      </c>
      <c r="AM506">
        <v>-1</v>
      </c>
      <c r="AN506">
        <v>0</v>
      </c>
      <c r="AO506">
        <v>0</v>
      </c>
      <c r="AP506">
        <v>0</v>
      </c>
      <c r="AQ506">
        <v>0</v>
      </c>
      <c r="AR506">
        <f t="shared" si="1499"/>
        <v>0</v>
      </c>
      <c r="AS506">
        <f>IF(AND(IFERROR(VLOOKUP(AJ506,Equip!$A:$N,13,FALSE),0)&gt;=5,IFERROR(VLOOKUP(AJ506,Equip!$A:$N,13,FALSE),0)&lt;=9),INT(VLOOKUP(AJ506,Equip!$A:$N,6,FALSE)*SQRT(AN506)),0)</f>
        <v>0</v>
      </c>
      <c r="AT506">
        <f>IF(AND(IFERROR(VLOOKUP(AK506,Equip!$A:$N,13,FALSE),0)&gt;=5,IFERROR(VLOOKUP(AK506,Equip!$A:$N,13,FALSE),0)&lt;=9),INT(VLOOKUP(AK506,Equip!$A:$N,6,FALSE)*SQRT(AO506)),0)</f>
        <v>0</v>
      </c>
      <c r="AU506">
        <f>IF(AND(IFERROR(VLOOKUP(AL506,Equip!$A:$N,13,FALSE),0)&gt;=5,IFERROR(VLOOKUP(AL506,Equip!$A:$N,13,FALSE),0)&lt;=9),INT(VLOOKUP(AL506,Equip!$A:$N,6,FALSE)*SQRT(AP506)),0)</f>
        <v>0</v>
      </c>
      <c r="AV506">
        <f>IF(AND(IFERROR(VLOOKUP(AM506,Equip!$A:$N,13,FALSE),0)&gt;=5,IFERROR(VLOOKUP(AM506,Equip!$A:$N,13,FALSE),0)&lt;=9),INT(VLOOKUP(AM506,Equip!$A:$N,6,FALSE)*SQRT(AQ506)),0)</f>
        <v>0</v>
      </c>
      <c r="AW506">
        <f t="shared" si="1500"/>
        <v>0</v>
      </c>
      <c r="AX506">
        <f t="shared" si="1501"/>
        <v>196</v>
      </c>
    </row>
    <row r="507" spans="1:50">
      <c r="A507">
        <v>536</v>
      </c>
      <c r="B507" t="s">
        <v>948</v>
      </c>
      <c r="C507" t="s">
        <v>948</v>
      </c>
      <c r="D507">
        <v>0</v>
      </c>
      <c r="E507">
        <v>0</v>
      </c>
      <c r="F507">
        <v>0</v>
      </c>
      <c r="G507">
        <v>536</v>
      </c>
      <c r="H507">
        <v>0</v>
      </c>
      <c r="I507">
        <v>0</v>
      </c>
      <c r="J507">
        <v>0</v>
      </c>
      <c r="K507">
        <v>7</v>
      </c>
      <c r="L507">
        <v>10</v>
      </c>
      <c r="M507">
        <v>88</v>
      </c>
      <c r="N507">
        <v>88</v>
      </c>
      <c r="O507">
        <v>50</v>
      </c>
      <c r="P507">
        <v>40</v>
      </c>
      <c r="Q507">
        <v>40</v>
      </c>
      <c r="R507">
        <v>5</v>
      </c>
      <c r="S507">
        <v>20</v>
      </c>
      <c r="T507">
        <v>0</v>
      </c>
      <c r="U507">
        <v>10</v>
      </c>
      <c r="V507">
        <v>10</v>
      </c>
      <c r="W507">
        <v>2</v>
      </c>
      <c r="X507">
        <v>1</v>
      </c>
      <c r="Y507">
        <v>5</v>
      </c>
      <c r="Z507">
        <v>0</v>
      </c>
      <c r="AA507">
        <v>0</v>
      </c>
      <c r="AB507">
        <v>50</v>
      </c>
      <c r="AC507">
        <v>40</v>
      </c>
      <c r="AD507">
        <v>20</v>
      </c>
      <c r="AE507">
        <v>40</v>
      </c>
      <c r="AF507">
        <v>1</v>
      </c>
      <c r="AG507">
        <v>5</v>
      </c>
      <c r="AH507">
        <v>0</v>
      </c>
      <c r="AI507">
        <v>10</v>
      </c>
      <c r="AJ507">
        <v>505</v>
      </c>
      <c r="AK507">
        <v>520</v>
      </c>
      <c r="AL507">
        <v>524</v>
      </c>
      <c r="AM507">
        <v>-1</v>
      </c>
      <c r="AN507">
        <v>30</v>
      </c>
      <c r="AO507">
        <v>30</v>
      </c>
      <c r="AP507">
        <v>30</v>
      </c>
      <c r="AQ507">
        <v>0</v>
      </c>
      <c r="AR507">
        <f t="shared" si="1499"/>
        <v>90</v>
      </c>
      <c r="AS507">
        <f>IF(AND(IFERROR(VLOOKUP(AJ507,Equip!$A:$N,13,FALSE),0)&gt;=5,IFERROR(VLOOKUP(AJ507,Equip!$A:$N,13,FALSE),0)&lt;=9),INT(VLOOKUP(AJ507,Equip!$A:$N,6,FALSE)*SQRT(AN507)),0)</f>
        <v>0</v>
      </c>
      <c r="AT507">
        <f>IF(AND(IFERROR(VLOOKUP(AK507,Equip!$A:$N,13,FALSE),0)&gt;=5,IFERROR(VLOOKUP(AK507,Equip!$A:$N,13,FALSE),0)&lt;=9),INT(VLOOKUP(AK507,Equip!$A:$N,6,FALSE)*SQRT(AO507)),0)</f>
        <v>0</v>
      </c>
      <c r="AU507">
        <f>IF(AND(IFERROR(VLOOKUP(AL507,Equip!$A:$N,13,FALSE),0)&gt;=5,IFERROR(VLOOKUP(AL507,Equip!$A:$N,13,FALSE),0)&lt;=9),INT(VLOOKUP(AL507,Equip!$A:$N,6,FALSE)*SQRT(AP507)),0)</f>
        <v>0</v>
      </c>
      <c r="AV507">
        <f>IF(AND(IFERROR(VLOOKUP(AM507,Equip!$A:$N,13,FALSE),0)&gt;=5,IFERROR(VLOOKUP(AM507,Equip!$A:$N,13,FALSE),0)&lt;=9),INT(VLOOKUP(AM507,Equip!$A:$N,6,FALSE)*SQRT(AQ507)),0)</f>
        <v>0</v>
      </c>
      <c r="AW507">
        <f t="shared" si="1500"/>
        <v>0</v>
      </c>
      <c r="AX507">
        <f t="shared" si="1501"/>
        <v>253</v>
      </c>
    </row>
    <row r="508" spans="1:50">
      <c r="A508">
        <v>537</v>
      </c>
      <c r="B508" t="s">
        <v>948</v>
      </c>
      <c r="C508" t="s">
        <v>948</v>
      </c>
      <c r="D508">
        <v>0</v>
      </c>
      <c r="E508">
        <v>0</v>
      </c>
      <c r="F508">
        <v>0</v>
      </c>
      <c r="G508">
        <v>536</v>
      </c>
      <c r="H508">
        <v>0</v>
      </c>
      <c r="I508">
        <v>0</v>
      </c>
      <c r="J508">
        <v>0</v>
      </c>
      <c r="K508">
        <v>7</v>
      </c>
      <c r="L508">
        <v>10</v>
      </c>
      <c r="M508">
        <v>88</v>
      </c>
      <c r="N508">
        <v>88</v>
      </c>
      <c r="O508">
        <v>50</v>
      </c>
      <c r="P508">
        <v>40</v>
      </c>
      <c r="Q508">
        <v>40</v>
      </c>
      <c r="R508">
        <v>5</v>
      </c>
      <c r="S508">
        <v>20</v>
      </c>
      <c r="T508">
        <v>0</v>
      </c>
      <c r="U508">
        <v>10</v>
      </c>
      <c r="V508">
        <v>10</v>
      </c>
      <c r="W508">
        <v>2</v>
      </c>
      <c r="X508">
        <v>1</v>
      </c>
      <c r="Y508">
        <v>5</v>
      </c>
      <c r="Z508">
        <v>0</v>
      </c>
      <c r="AA508">
        <v>0</v>
      </c>
      <c r="AB508">
        <v>50</v>
      </c>
      <c r="AC508">
        <v>40</v>
      </c>
      <c r="AD508">
        <v>20</v>
      </c>
      <c r="AE508">
        <v>40</v>
      </c>
      <c r="AF508">
        <v>1</v>
      </c>
      <c r="AG508">
        <v>5</v>
      </c>
      <c r="AH508">
        <v>0</v>
      </c>
      <c r="AI508">
        <v>10</v>
      </c>
      <c r="AJ508">
        <v>505</v>
      </c>
      <c r="AK508">
        <v>520</v>
      </c>
      <c r="AL508">
        <v>524</v>
      </c>
      <c r="AM508">
        <v>-1</v>
      </c>
      <c r="AN508">
        <v>30</v>
      </c>
      <c r="AO508">
        <v>30</v>
      </c>
      <c r="AP508">
        <v>30</v>
      </c>
      <c r="AQ508">
        <v>0</v>
      </c>
      <c r="AR508">
        <f t="shared" si="1499"/>
        <v>90</v>
      </c>
      <c r="AS508">
        <f>IF(AND(IFERROR(VLOOKUP(AJ508,Equip!$A:$N,13,FALSE),0)&gt;=5,IFERROR(VLOOKUP(AJ508,Equip!$A:$N,13,FALSE),0)&lt;=9),INT(VLOOKUP(AJ508,Equip!$A:$N,6,FALSE)*SQRT(AN508)),0)</f>
        <v>0</v>
      </c>
      <c r="AT508">
        <f>IF(AND(IFERROR(VLOOKUP(AK508,Equip!$A:$N,13,FALSE),0)&gt;=5,IFERROR(VLOOKUP(AK508,Equip!$A:$N,13,FALSE),0)&lt;=9),INT(VLOOKUP(AK508,Equip!$A:$N,6,FALSE)*SQRT(AO508)),0)</f>
        <v>0</v>
      </c>
      <c r="AU508">
        <f>IF(AND(IFERROR(VLOOKUP(AL508,Equip!$A:$N,13,FALSE),0)&gt;=5,IFERROR(VLOOKUP(AL508,Equip!$A:$N,13,FALSE),0)&lt;=9),INT(VLOOKUP(AL508,Equip!$A:$N,6,FALSE)*SQRT(AP508)),0)</f>
        <v>0</v>
      </c>
      <c r="AV508">
        <f>IF(AND(IFERROR(VLOOKUP(AM508,Equip!$A:$N,13,FALSE),0)&gt;=5,IFERROR(VLOOKUP(AM508,Equip!$A:$N,13,FALSE),0)&lt;=9),INT(VLOOKUP(AM508,Equip!$A:$N,6,FALSE)*SQRT(AQ508)),0)</f>
        <v>0</v>
      </c>
      <c r="AW508">
        <f t="shared" si="1500"/>
        <v>0</v>
      </c>
      <c r="AX508">
        <f t="shared" si="1501"/>
        <v>253</v>
      </c>
    </row>
    <row r="509" spans="1:50">
      <c r="A509">
        <v>538</v>
      </c>
      <c r="B509" t="s">
        <v>948</v>
      </c>
      <c r="C509" t="s">
        <v>948</v>
      </c>
      <c r="D509">
        <v>0</v>
      </c>
      <c r="E509">
        <v>0</v>
      </c>
      <c r="F509">
        <v>0</v>
      </c>
      <c r="G509">
        <v>536</v>
      </c>
      <c r="H509">
        <v>0</v>
      </c>
      <c r="I509">
        <v>0</v>
      </c>
      <c r="J509">
        <v>0</v>
      </c>
      <c r="K509">
        <v>7</v>
      </c>
      <c r="L509">
        <v>10</v>
      </c>
      <c r="M509">
        <v>88</v>
      </c>
      <c r="N509">
        <v>88</v>
      </c>
      <c r="O509">
        <v>50</v>
      </c>
      <c r="P509">
        <v>40</v>
      </c>
      <c r="Q509">
        <v>40</v>
      </c>
      <c r="R509">
        <v>5</v>
      </c>
      <c r="S509">
        <v>20</v>
      </c>
      <c r="T509">
        <v>0</v>
      </c>
      <c r="U509">
        <v>10</v>
      </c>
      <c r="V509">
        <v>10</v>
      </c>
      <c r="W509">
        <v>2</v>
      </c>
      <c r="X509">
        <v>1</v>
      </c>
      <c r="Y509">
        <v>5</v>
      </c>
      <c r="Z509">
        <v>0</v>
      </c>
      <c r="AA509">
        <v>0</v>
      </c>
      <c r="AB509">
        <v>50</v>
      </c>
      <c r="AC509">
        <v>40</v>
      </c>
      <c r="AD509">
        <v>20</v>
      </c>
      <c r="AE509">
        <v>40</v>
      </c>
      <c r="AF509">
        <v>1</v>
      </c>
      <c r="AG509">
        <v>5</v>
      </c>
      <c r="AH509">
        <v>0</v>
      </c>
      <c r="AI509">
        <v>10</v>
      </c>
      <c r="AJ509">
        <v>505</v>
      </c>
      <c r="AK509">
        <v>520</v>
      </c>
      <c r="AL509">
        <v>524</v>
      </c>
      <c r="AM509">
        <v>-1</v>
      </c>
      <c r="AN509">
        <v>30</v>
      </c>
      <c r="AO509">
        <v>30</v>
      </c>
      <c r="AP509">
        <v>30</v>
      </c>
      <c r="AQ509">
        <v>0</v>
      </c>
      <c r="AR509">
        <f t="shared" si="1499"/>
        <v>90</v>
      </c>
      <c r="AS509">
        <f>IF(AND(IFERROR(VLOOKUP(AJ509,Equip!$A:$N,13,FALSE),0)&gt;=5,IFERROR(VLOOKUP(AJ509,Equip!$A:$N,13,FALSE),0)&lt;=9),INT(VLOOKUP(AJ509,Equip!$A:$N,6,FALSE)*SQRT(AN509)),0)</f>
        <v>0</v>
      </c>
      <c r="AT509">
        <f>IF(AND(IFERROR(VLOOKUP(AK509,Equip!$A:$N,13,FALSE),0)&gt;=5,IFERROR(VLOOKUP(AK509,Equip!$A:$N,13,FALSE),0)&lt;=9),INT(VLOOKUP(AK509,Equip!$A:$N,6,FALSE)*SQRT(AO509)),0)</f>
        <v>0</v>
      </c>
      <c r="AU509">
        <f>IF(AND(IFERROR(VLOOKUP(AL509,Equip!$A:$N,13,FALSE),0)&gt;=5,IFERROR(VLOOKUP(AL509,Equip!$A:$N,13,FALSE),0)&lt;=9),INT(VLOOKUP(AL509,Equip!$A:$N,6,FALSE)*SQRT(AP509)),0)</f>
        <v>0</v>
      </c>
      <c r="AV509">
        <f>IF(AND(IFERROR(VLOOKUP(AM509,Equip!$A:$N,13,FALSE),0)&gt;=5,IFERROR(VLOOKUP(AM509,Equip!$A:$N,13,FALSE),0)&lt;=9),INT(VLOOKUP(AM509,Equip!$A:$N,6,FALSE)*SQRT(AQ509)),0)</f>
        <v>0</v>
      </c>
      <c r="AW509">
        <f t="shared" si="1500"/>
        <v>0</v>
      </c>
      <c r="AX509">
        <f t="shared" si="1501"/>
        <v>253</v>
      </c>
    </row>
    <row r="510" spans="1:50">
      <c r="A510">
        <v>539</v>
      </c>
      <c r="B510" t="s">
        <v>949</v>
      </c>
      <c r="C510" t="s">
        <v>949</v>
      </c>
      <c r="D510">
        <v>0</v>
      </c>
      <c r="E510">
        <v>0</v>
      </c>
      <c r="F510">
        <v>0</v>
      </c>
      <c r="G510">
        <v>539</v>
      </c>
      <c r="H510">
        <v>0</v>
      </c>
      <c r="I510">
        <v>0</v>
      </c>
      <c r="J510">
        <v>0</v>
      </c>
      <c r="K510">
        <v>7</v>
      </c>
      <c r="L510">
        <v>10</v>
      </c>
      <c r="M510">
        <v>180</v>
      </c>
      <c r="N510">
        <v>180</v>
      </c>
      <c r="O510">
        <v>90</v>
      </c>
      <c r="P510">
        <v>80</v>
      </c>
      <c r="Q510">
        <v>60</v>
      </c>
      <c r="R510">
        <v>10</v>
      </c>
      <c r="S510">
        <v>70</v>
      </c>
      <c r="T510">
        <v>0</v>
      </c>
      <c r="U510">
        <v>5</v>
      </c>
      <c r="V510">
        <v>70</v>
      </c>
      <c r="W510">
        <v>3</v>
      </c>
      <c r="X510">
        <v>30</v>
      </c>
      <c r="Y510">
        <v>5</v>
      </c>
      <c r="Z510">
        <v>0</v>
      </c>
      <c r="AA510">
        <v>0</v>
      </c>
      <c r="AB510">
        <v>90</v>
      </c>
      <c r="AC510">
        <v>60</v>
      </c>
      <c r="AD510">
        <v>70</v>
      </c>
      <c r="AE510">
        <v>80</v>
      </c>
      <c r="AF510">
        <v>30</v>
      </c>
      <c r="AG510">
        <v>10</v>
      </c>
      <c r="AH510">
        <v>0</v>
      </c>
      <c r="AI510">
        <v>70</v>
      </c>
      <c r="AJ510">
        <v>536</v>
      </c>
      <c r="AK510">
        <v>520</v>
      </c>
      <c r="AL510">
        <v>517</v>
      </c>
      <c r="AM510">
        <v>0</v>
      </c>
      <c r="AN510">
        <v>60</v>
      </c>
      <c r="AO510">
        <v>60</v>
      </c>
      <c r="AP510">
        <v>60</v>
      </c>
      <c r="AQ510">
        <v>0</v>
      </c>
      <c r="AR510">
        <f t="shared" si="1499"/>
        <v>180</v>
      </c>
      <c r="AS510">
        <f>IF(AND(IFERROR(VLOOKUP(AJ510,Equip!$A:$N,13,FALSE),0)&gt;=5,IFERROR(VLOOKUP(AJ510,Equip!$A:$N,13,FALSE),0)&lt;=9),INT(VLOOKUP(AJ510,Equip!$A:$N,6,FALSE)*SQRT(AN510)),0)</f>
        <v>0</v>
      </c>
      <c r="AT510">
        <f>IF(AND(IFERROR(VLOOKUP(AK510,Equip!$A:$N,13,FALSE),0)&gt;=5,IFERROR(VLOOKUP(AK510,Equip!$A:$N,13,FALSE),0)&lt;=9),INT(VLOOKUP(AK510,Equip!$A:$N,6,FALSE)*SQRT(AO510)),0)</f>
        <v>0</v>
      </c>
      <c r="AU510">
        <f>IF(AND(IFERROR(VLOOKUP(AL510,Equip!$A:$N,13,FALSE),0)&gt;=5,IFERROR(VLOOKUP(AL510,Equip!$A:$N,13,FALSE),0)&lt;=9),INT(VLOOKUP(AL510,Equip!$A:$N,6,FALSE)*SQRT(AP510)),0)</f>
        <v>0</v>
      </c>
      <c r="AV510">
        <f>IF(AND(IFERROR(VLOOKUP(AM510,Equip!$A:$N,13,FALSE),0)&gt;=5,IFERROR(VLOOKUP(AM510,Equip!$A:$N,13,FALSE),0)&lt;=9),INT(VLOOKUP(AM510,Equip!$A:$N,6,FALSE)*SQRT(AQ510)),0)</f>
        <v>0</v>
      </c>
      <c r="AW510">
        <f t="shared" si="1500"/>
        <v>0</v>
      </c>
      <c r="AX510">
        <f t="shared" si="1501"/>
        <v>560</v>
      </c>
    </row>
    <row r="511" spans="1:50">
      <c r="A511">
        <v>540</v>
      </c>
      <c r="B511" t="s">
        <v>950</v>
      </c>
      <c r="C511" t="s">
        <v>950</v>
      </c>
      <c r="D511">
        <v>0</v>
      </c>
      <c r="E511">
        <v>0</v>
      </c>
      <c r="F511">
        <v>0</v>
      </c>
      <c r="G511">
        <v>540</v>
      </c>
      <c r="H511">
        <v>0</v>
      </c>
      <c r="I511">
        <v>0</v>
      </c>
      <c r="J511">
        <v>0</v>
      </c>
      <c r="K511">
        <v>7</v>
      </c>
      <c r="L511">
        <v>10</v>
      </c>
      <c r="M511">
        <v>300</v>
      </c>
      <c r="N511">
        <v>300</v>
      </c>
      <c r="O511">
        <v>96</v>
      </c>
      <c r="P511">
        <v>90</v>
      </c>
      <c r="Q511">
        <v>90</v>
      </c>
      <c r="R511">
        <v>20</v>
      </c>
      <c r="S511">
        <v>80</v>
      </c>
      <c r="T511">
        <v>0</v>
      </c>
      <c r="U511">
        <v>5</v>
      </c>
      <c r="V511">
        <v>80</v>
      </c>
      <c r="W511">
        <v>3</v>
      </c>
      <c r="X511">
        <v>40</v>
      </c>
      <c r="Y511">
        <v>10</v>
      </c>
      <c r="Z511">
        <v>0</v>
      </c>
      <c r="AA511">
        <v>0</v>
      </c>
      <c r="AB511">
        <v>96</v>
      </c>
      <c r="AC511">
        <v>90</v>
      </c>
      <c r="AD511">
        <v>80</v>
      </c>
      <c r="AE511">
        <v>90</v>
      </c>
      <c r="AF511">
        <v>40</v>
      </c>
      <c r="AG511">
        <v>20</v>
      </c>
      <c r="AH511">
        <v>0</v>
      </c>
      <c r="AI511">
        <v>80</v>
      </c>
      <c r="AJ511">
        <v>536</v>
      </c>
      <c r="AK511">
        <v>520</v>
      </c>
      <c r="AL511">
        <v>517</v>
      </c>
      <c r="AM511">
        <v>0</v>
      </c>
      <c r="AN511">
        <v>60</v>
      </c>
      <c r="AO511">
        <v>60</v>
      </c>
      <c r="AP511">
        <v>60</v>
      </c>
      <c r="AQ511">
        <v>0</v>
      </c>
      <c r="AR511">
        <f t="shared" si="1499"/>
        <v>180</v>
      </c>
      <c r="AS511">
        <f>IF(AND(IFERROR(VLOOKUP(AJ511,Equip!$A:$N,13,FALSE),0)&gt;=5,IFERROR(VLOOKUP(AJ511,Equip!$A:$N,13,FALSE),0)&lt;=9),INT(VLOOKUP(AJ511,Equip!$A:$N,6,FALSE)*SQRT(AN511)),0)</f>
        <v>0</v>
      </c>
      <c r="AT511">
        <f>IF(AND(IFERROR(VLOOKUP(AK511,Equip!$A:$N,13,FALSE),0)&gt;=5,IFERROR(VLOOKUP(AK511,Equip!$A:$N,13,FALSE),0)&lt;=9),INT(VLOOKUP(AK511,Equip!$A:$N,6,FALSE)*SQRT(AO511)),0)</f>
        <v>0</v>
      </c>
      <c r="AU511">
        <f>IF(AND(IFERROR(VLOOKUP(AL511,Equip!$A:$N,13,FALSE),0)&gt;=5,IFERROR(VLOOKUP(AL511,Equip!$A:$N,13,FALSE),0)&lt;=9),INT(VLOOKUP(AL511,Equip!$A:$N,6,FALSE)*SQRT(AP511)),0)</f>
        <v>0</v>
      </c>
      <c r="AV511">
        <f>IF(AND(IFERROR(VLOOKUP(AM511,Equip!$A:$N,13,FALSE),0)&gt;=5,IFERROR(VLOOKUP(AM511,Equip!$A:$N,13,FALSE),0)&lt;=9),INT(VLOOKUP(AM511,Equip!$A:$N,6,FALSE)*SQRT(AQ511)),0)</f>
        <v>0</v>
      </c>
      <c r="AW511">
        <f t="shared" si="1500"/>
        <v>0</v>
      </c>
      <c r="AX511">
        <f t="shared" si="1501"/>
        <v>756</v>
      </c>
    </row>
    <row r="512" spans="1:50">
      <c r="A512">
        <v>541</v>
      </c>
      <c r="B512" t="s">
        <v>951</v>
      </c>
      <c r="C512" t="s">
        <v>951</v>
      </c>
      <c r="D512">
        <v>0</v>
      </c>
      <c r="E512">
        <v>0</v>
      </c>
      <c r="F512">
        <v>0</v>
      </c>
      <c r="G512">
        <v>541</v>
      </c>
      <c r="H512">
        <v>0</v>
      </c>
      <c r="I512">
        <v>0</v>
      </c>
      <c r="J512">
        <v>0</v>
      </c>
      <c r="K512">
        <v>8</v>
      </c>
      <c r="L512">
        <v>10</v>
      </c>
      <c r="M512">
        <v>84</v>
      </c>
      <c r="N512">
        <v>84</v>
      </c>
      <c r="O512">
        <v>60</v>
      </c>
      <c r="P512">
        <v>80</v>
      </c>
      <c r="Q512">
        <v>0</v>
      </c>
      <c r="R512">
        <v>20</v>
      </c>
      <c r="S512">
        <v>70</v>
      </c>
      <c r="T512">
        <v>0</v>
      </c>
      <c r="U512">
        <v>10</v>
      </c>
      <c r="V512">
        <v>25</v>
      </c>
      <c r="W512">
        <v>3</v>
      </c>
      <c r="X512">
        <v>10</v>
      </c>
      <c r="Y512">
        <v>0</v>
      </c>
      <c r="Z512">
        <v>0</v>
      </c>
      <c r="AA512">
        <v>0</v>
      </c>
      <c r="AB512">
        <v>60</v>
      </c>
      <c r="AC512">
        <v>0</v>
      </c>
      <c r="AD512">
        <v>70</v>
      </c>
      <c r="AE512">
        <v>80</v>
      </c>
      <c r="AF512">
        <v>10</v>
      </c>
      <c r="AG512">
        <v>20</v>
      </c>
      <c r="AH512">
        <v>0</v>
      </c>
      <c r="AI512">
        <v>25</v>
      </c>
      <c r="AJ512">
        <v>508</v>
      </c>
      <c r="AK512">
        <v>508</v>
      </c>
      <c r="AL512">
        <v>512</v>
      </c>
      <c r="AM512">
        <v>525</v>
      </c>
      <c r="AN512">
        <v>4</v>
      </c>
      <c r="AO512">
        <v>4</v>
      </c>
      <c r="AP512">
        <v>4</v>
      </c>
      <c r="AQ512">
        <v>4</v>
      </c>
      <c r="AR512">
        <f t="shared" si="1499"/>
        <v>16</v>
      </c>
      <c r="AS512">
        <f>IF(AND(IFERROR(VLOOKUP(AJ512,Equip!$A:$N,13,FALSE),0)&gt;=5,IFERROR(VLOOKUP(AJ512,Equip!$A:$N,13,FALSE),0)&lt;=9),INT(VLOOKUP(AJ512,Equip!$A:$N,6,FALSE)*SQRT(AN512)),0)</f>
        <v>0</v>
      </c>
      <c r="AT512">
        <f>IF(AND(IFERROR(VLOOKUP(AK512,Equip!$A:$N,13,FALSE),0)&gt;=5,IFERROR(VLOOKUP(AK512,Equip!$A:$N,13,FALSE),0)&lt;=9),INT(VLOOKUP(AK512,Equip!$A:$N,6,FALSE)*SQRT(AO512)),0)</f>
        <v>0</v>
      </c>
      <c r="AU512">
        <f>IF(AND(IFERROR(VLOOKUP(AL512,Equip!$A:$N,13,FALSE),0)&gt;=5,IFERROR(VLOOKUP(AL512,Equip!$A:$N,13,FALSE),0)&lt;=9),INT(VLOOKUP(AL512,Equip!$A:$N,6,FALSE)*SQRT(AP512)),0)</f>
        <v>0</v>
      </c>
      <c r="AV512">
        <f>IF(AND(IFERROR(VLOOKUP(AM512,Equip!$A:$N,13,FALSE),0)&gt;=5,IFERROR(VLOOKUP(AM512,Equip!$A:$N,13,FALSE),0)&lt;=9),INT(VLOOKUP(AM512,Equip!$A:$N,6,FALSE)*SQRT(AQ512)),0)</f>
        <v>0</v>
      </c>
      <c r="AW512">
        <f t="shared" si="1500"/>
        <v>0</v>
      </c>
      <c r="AX512">
        <f t="shared" si="1501"/>
        <v>339</v>
      </c>
    </row>
    <row r="513" spans="1:50">
      <c r="A513">
        <v>542</v>
      </c>
      <c r="B513" t="s">
        <v>1239</v>
      </c>
      <c r="C513" t="s">
        <v>1239</v>
      </c>
      <c r="D513">
        <v>0</v>
      </c>
      <c r="E513">
        <v>0</v>
      </c>
      <c r="F513">
        <v>0</v>
      </c>
      <c r="G513">
        <v>541</v>
      </c>
      <c r="H513">
        <v>0</v>
      </c>
      <c r="I513">
        <v>0</v>
      </c>
      <c r="J513">
        <v>0</v>
      </c>
      <c r="K513">
        <v>8</v>
      </c>
      <c r="L513">
        <v>10</v>
      </c>
      <c r="M513">
        <v>88</v>
      </c>
      <c r="N513">
        <v>88</v>
      </c>
      <c r="O513">
        <v>75</v>
      </c>
      <c r="P513">
        <v>88</v>
      </c>
      <c r="Q513">
        <v>0</v>
      </c>
      <c r="R513">
        <v>40</v>
      </c>
      <c r="S513">
        <v>65</v>
      </c>
      <c r="T513">
        <v>0</v>
      </c>
      <c r="U513">
        <v>10</v>
      </c>
      <c r="V513">
        <v>30</v>
      </c>
      <c r="W513">
        <v>3</v>
      </c>
      <c r="X513">
        <v>20</v>
      </c>
      <c r="Y513">
        <v>0</v>
      </c>
      <c r="Z513">
        <v>0</v>
      </c>
      <c r="AA513">
        <v>0</v>
      </c>
      <c r="AB513">
        <v>75</v>
      </c>
      <c r="AC513">
        <v>0</v>
      </c>
      <c r="AD513">
        <v>65</v>
      </c>
      <c r="AE513">
        <v>88</v>
      </c>
      <c r="AF513">
        <v>20</v>
      </c>
      <c r="AG513">
        <v>40</v>
      </c>
      <c r="AH513">
        <v>0</v>
      </c>
      <c r="AI513">
        <v>30</v>
      </c>
      <c r="AJ513">
        <v>509</v>
      </c>
      <c r="AK513">
        <v>508</v>
      </c>
      <c r="AL513">
        <v>512</v>
      </c>
      <c r="AM513">
        <v>528</v>
      </c>
      <c r="AN513">
        <v>4</v>
      </c>
      <c r="AO513">
        <v>4</v>
      </c>
      <c r="AP513">
        <v>4</v>
      </c>
      <c r="AQ513">
        <v>4</v>
      </c>
      <c r="AR513">
        <f t="shared" si="1499"/>
        <v>16</v>
      </c>
      <c r="AS513">
        <f>IF(AND(IFERROR(VLOOKUP(AJ513,Equip!$A:$N,13,FALSE),0)&gt;=5,IFERROR(VLOOKUP(AJ513,Equip!$A:$N,13,FALSE),0)&lt;=9),INT(VLOOKUP(AJ513,Equip!$A:$N,6,FALSE)*SQRT(AN513)),0)</f>
        <v>0</v>
      </c>
      <c r="AT513">
        <f>IF(AND(IFERROR(VLOOKUP(AK513,Equip!$A:$N,13,FALSE),0)&gt;=5,IFERROR(VLOOKUP(AK513,Equip!$A:$N,13,FALSE),0)&lt;=9),INT(VLOOKUP(AK513,Equip!$A:$N,6,FALSE)*SQRT(AO513)),0)</f>
        <v>0</v>
      </c>
      <c r="AU513">
        <f>IF(AND(IFERROR(VLOOKUP(AL513,Equip!$A:$N,13,FALSE),0)&gt;=5,IFERROR(VLOOKUP(AL513,Equip!$A:$N,13,FALSE),0)&lt;=9),INT(VLOOKUP(AL513,Equip!$A:$N,6,FALSE)*SQRT(AP513)),0)</f>
        <v>0</v>
      </c>
      <c r="AV513">
        <f>IF(AND(IFERROR(VLOOKUP(AM513,Equip!$A:$N,13,FALSE),0)&gt;=5,IFERROR(VLOOKUP(AM513,Equip!$A:$N,13,FALSE),0)&lt;=9),INT(VLOOKUP(AM513,Equip!$A:$N,6,FALSE)*SQRT(AQ513)),0)</f>
        <v>0</v>
      </c>
      <c r="AW513">
        <f t="shared" si="1500"/>
        <v>0</v>
      </c>
      <c r="AX513">
        <f t="shared" si="1501"/>
        <v>386</v>
      </c>
    </row>
    <row r="514" spans="1:50">
      <c r="A514">
        <v>543</v>
      </c>
      <c r="B514" t="s">
        <v>1240</v>
      </c>
      <c r="C514" t="s">
        <v>1240</v>
      </c>
      <c r="D514">
        <v>0</v>
      </c>
      <c r="E514">
        <v>0</v>
      </c>
      <c r="F514">
        <v>0</v>
      </c>
      <c r="G514">
        <v>541</v>
      </c>
      <c r="H514">
        <v>0</v>
      </c>
      <c r="I514">
        <v>0</v>
      </c>
      <c r="J514">
        <v>0</v>
      </c>
      <c r="K514">
        <v>8</v>
      </c>
      <c r="L514">
        <v>10</v>
      </c>
      <c r="M514">
        <v>90</v>
      </c>
      <c r="N514">
        <v>90</v>
      </c>
      <c r="O514">
        <v>85</v>
      </c>
      <c r="P514">
        <v>96</v>
      </c>
      <c r="Q514">
        <v>0</v>
      </c>
      <c r="R514">
        <v>55</v>
      </c>
      <c r="S514">
        <v>70</v>
      </c>
      <c r="T514">
        <v>0</v>
      </c>
      <c r="U514">
        <v>10</v>
      </c>
      <c r="V514">
        <v>35</v>
      </c>
      <c r="W514">
        <v>3</v>
      </c>
      <c r="X514">
        <v>30</v>
      </c>
      <c r="Y514">
        <v>5</v>
      </c>
      <c r="Z514">
        <v>0</v>
      </c>
      <c r="AA514">
        <v>0</v>
      </c>
      <c r="AB514">
        <v>85</v>
      </c>
      <c r="AC514">
        <v>0</v>
      </c>
      <c r="AD514">
        <v>70</v>
      </c>
      <c r="AE514">
        <v>96</v>
      </c>
      <c r="AF514">
        <v>30</v>
      </c>
      <c r="AG514">
        <v>55</v>
      </c>
      <c r="AH514">
        <v>0</v>
      </c>
      <c r="AI514">
        <v>35</v>
      </c>
      <c r="AJ514">
        <v>509</v>
      </c>
      <c r="AK514">
        <v>509</v>
      </c>
      <c r="AL514">
        <v>525</v>
      </c>
      <c r="AM514">
        <v>529</v>
      </c>
      <c r="AN514">
        <v>4</v>
      </c>
      <c r="AO514">
        <v>4</v>
      </c>
      <c r="AP514">
        <v>4</v>
      </c>
      <c r="AQ514">
        <v>4</v>
      </c>
      <c r="AR514">
        <f t="shared" si="1499"/>
        <v>16</v>
      </c>
      <c r="AS514">
        <f>IF(AND(IFERROR(VLOOKUP(AJ514,Equip!$A:$N,13,FALSE),0)&gt;=5,IFERROR(VLOOKUP(AJ514,Equip!$A:$N,13,FALSE),0)&lt;=9),INT(VLOOKUP(AJ514,Equip!$A:$N,6,FALSE)*SQRT(AN514)),0)</f>
        <v>0</v>
      </c>
      <c r="AT514">
        <f>IF(AND(IFERROR(VLOOKUP(AK514,Equip!$A:$N,13,FALSE),0)&gt;=5,IFERROR(VLOOKUP(AK514,Equip!$A:$N,13,FALSE),0)&lt;=9),INT(VLOOKUP(AK514,Equip!$A:$N,6,FALSE)*SQRT(AO514)),0)</f>
        <v>0</v>
      </c>
      <c r="AU514">
        <f>IF(AND(IFERROR(VLOOKUP(AL514,Equip!$A:$N,13,FALSE),0)&gt;=5,IFERROR(VLOOKUP(AL514,Equip!$A:$N,13,FALSE),0)&lt;=9),INT(VLOOKUP(AL514,Equip!$A:$N,6,FALSE)*SQRT(AP514)),0)</f>
        <v>0</v>
      </c>
      <c r="AV514">
        <f>IF(AND(IFERROR(VLOOKUP(AM514,Equip!$A:$N,13,FALSE),0)&gt;=5,IFERROR(VLOOKUP(AM514,Equip!$A:$N,13,FALSE),0)&lt;=9),INT(VLOOKUP(AM514,Equip!$A:$N,6,FALSE)*SQRT(AQ514)),0)</f>
        <v>0</v>
      </c>
      <c r="AW514">
        <f t="shared" si="1500"/>
        <v>0</v>
      </c>
      <c r="AX514">
        <f t="shared" si="1501"/>
        <v>431</v>
      </c>
    </row>
    <row r="515" spans="1:50">
      <c r="A515">
        <v>544</v>
      </c>
      <c r="B515" t="s">
        <v>952</v>
      </c>
      <c r="C515" t="s">
        <v>952</v>
      </c>
      <c r="D515">
        <v>0</v>
      </c>
      <c r="E515">
        <v>0</v>
      </c>
      <c r="F515">
        <v>0</v>
      </c>
      <c r="G515">
        <v>544</v>
      </c>
      <c r="H515">
        <v>0</v>
      </c>
      <c r="I515">
        <v>0</v>
      </c>
      <c r="J515">
        <v>0</v>
      </c>
      <c r="K515">
        <v>7</v>
      </c>
      <c r="L515">
        <v>10</v>
      </c>
      <c r="M515">
        <v>150</v>
      </c>
      <c r="N515">
        <v>150</v>
      </c>
      <c r="O515">
        <v>70</v>
      </c>
      <c r="P515">
        <v>80</v>
      </c>
      <c r="Q515">
        <v>80</v>
      </c>
      <c r="R515">
        <v>10</v>
      </c>
      <c r="S515">
        <v>60</v>
      </c>
      <c r="T515">
        <v>0</v>
      </c>
      <c r="U515">
        <v>10</v>
      </c>
      <c r="V515">
        <v>70</v>
      </c>
      <c r="W515">
        <v>2</v>
      </c>
      <c r="X515">
        <v>10</v>
      </c>
      <c r="Y515">
        <v>5</v>
      </c>
      <c r="Z515">
        <v>0</v>
      </c>
      <c r="AA515">
        <v>0</v>
      </c>
      <c r="AB515">
        <v>70</v>
      </c>
      <c r="AC515">
        <v>80</v>
      </c>
      <c r="AD515">
        <v>60</v>
      </c>
      <c r="AE515">
        <v>80</v>
      </c>
      <c r="AF515">
        <v>10</v>
      </c>
      <c r="AG515">
        <v>10</v>
      </c>
      <c r="AH515">
        <v>0</v>
      </c>
      <c r="AI515">
        <v>70</v>
      </c>
      <c r="AJ515">
        <v>520</v>
      </c>
      <c r="AK515">
        <v>524</v>
      </c>
      <c r="AL515">
        <v>508</v>
      </c>
      <c r="AM515">
        <v>0</v>
      </c>
      <c r="AN515">
        <v>80</v>
      </c>
      <c r="AO515">
        <v>80</v>
      </c>
      <c r="AP515">
        <v>0</v>
      </c>
      <c r="AQ515">
        <v>0</v>
      </c>
      <c r="AR515">
        <f t="shared" si="1499"/>
        <v>160</v>
      </c>
      <c r="AS515">
        <f>IF(AND(IFERROR(VLOOKUP(AJ515,Equip!$A:$N,13,FALSE),0)&gt;=5,IFERROR(VLOOKUP(AJ515,Equip!$A:$N,13,FALSE),0)&lt;=9),INT(VLOOKUP(AJ515,Equip!$A:$N,6,FALSE)*SQRT(AN515)),0)</f>
        <v>0</v>
      </c>
      <c r="AT515">
        <f>IF(AND(IFERROR(VLOOKUP(AK515,Equip!$A:$N,13,FALSE),0)&gt;=5,IFERROR(VLOOKUP(AK515,Equip!$A:$N,13,FALSE),0)&lt;=9),INT(VLOOKUP(AK515,Equip!$A:$N,6,FALSE)*SQRT(AO515)),0)</f>
        <v>0</v>
      </c>
      <c r="AU515">
        <f>IF(AND(IFERROR(VLOOKUP(AL515,Equip!$A:$N,13,FALSE),0)&gt;=5,IFERROR(VLOOKUP(AL515,Equip!$A:$N,13,FALSE),0)&lt;=9),INT(VLOOKUP(AL515,Equip!$A:$N,6,FALSE)*SQRT(AP515)),0)</f>
        <v>0</v>
      </c>
      <c r="AV515">
        <f>IF(AND(IFERROR(VLOOKUP(AM515,Equip!$A:$N,13,FALSE),0)&gt;=5,IFERROR(VLOOKUP(AM515,Equip!$A:$N,13,FALSE),0)&lt;=9),INT(VLOOKUP(AM515,Equip!$A:$N,6,FALSE)*SQRT(AQ515)),0)</f>
        <v>0</v>
      </c>
      <c r="AW515">
        <f t="shared" si="1500"/>
        <v>0</v>
      </c>
      <c r="AX515">
        <f t="shared" si="1501"/>
        <v>520</v>
      </c>
    </row>
    <row r="516" spans="1:50">
      <c r="A516">
        <v>545</v>
      </c>
      <c r="B516" t="s">
        <v>953</v>
      </c>
      <c r="C516" t="s">
        <v>953</v>
      </c>
      <c r="D516">
        <v>0</v>
      </c>
      <c r="E516">
        <v>0</v>
      </c>
      <c r="F516">
        <v>0</v>
      </c>
      <c r="G516">
        <v>545</v>
      </c>
      <c r="H516">
        <v>0</v>
      </c>
      <c r="I516">
        <v>0</v>
      </c>
      <c r="J516">
        <v>0</v>
      </c>
      <c r="K516">
        <v>7</v>
      </c>
      <c r="L516">
        <v>10</v>
      </c>
      <c r="M516">
        <v>270</v>
      </c>
      <c r="N516">
        <v>270</v>
      </c>
      <c r="O516">
        <v>90</v>
      </c>
      <c r="P516">
        <v>90</v>
      </c>
      <c r="Q516">
        <v>90</v>
      </c>
      <c r="R516">
        <v>20</v>
      </c>
      <c r="S516">
        <v>70</v>
      </c>
      <c r="T516">
        <v>0</v>
      </c>
      <c r="U516">
        <v>10</v>
      </c>
      <c r="V516">
        <v>80</v>
      </c>
      <c r="W516">
        <v>2</v>
      </c>
      <c r="X516">
        <v>20</v>
      </c>
      <c r="Y516">
        <v>10</v>
      </c>
      <c r="Z516">
        <v>0</v>
      </c>
      <c r="AA516">
        <v>0</v>
      </c>
      <c r="AB516">
        <v>90</v>
      </c>
      <c r="AC516">
        <v>90</v>
      </c>
      <c r="AD516">
        <v>70</v>
      </c>
      <c r="AE516">
        <v>90</v>
      </c>
      <c r="AF516">
        <v>20</v>
      </c>
      <c r="AG516">
        <v>20</v>
      </c>
      <c r="AH516">
        <v>0</v>
      </c>
      <c r="AI516">
        <v>80</v>
      </c>
      <c r="AJ516">
        <v>520</v>
      </c>
      <c r="AK516">
        <v>517</v>
      </c>
      <c r="AL516">
        <v>508</v>
      </c>
      <c r="AM516">
        <v>0</v>
      </c>
      <c r="AN516">
        <v>96</v>
      </c>
      <c r="AO516">
        <v>96</v>
      </c>
      <c r="AP516">
        <v>0</v>
      </c>
      <c r="AQ516">
        <v>0</v>
      </c>
      <c r="AR516">
        <f t="shared" si="1499"/>
        <v>192</v>
      </c>
      <c r="AS516">
        <f>IF(AND(IFERROR(VLOOKUP(AJ516,Equip!$A:$N,13,FALSE),0)&gt;=5,IFERROR(VLOOKUP(AJ516,Equip!$A:$N,13,FALSE),0)&lt;=9),INT(VLOOKUP(AJ516,Equip!$A:$N,6,FALSE)*SQRT(AN516)),0)</f>
        <v>0</v>
      </c>
      <c r="AT516">
        <f>IF(AND(IFERROR(VLOOKUP(AK516,Equip!$A:$N,13,FALSE),0)&gt;=5,IFERROR(VLOOKUP(AK516,Equip!$A:$N,13,FALSE),0)&lt;=9),INT(VLOOKUP(AK516,Equip!$A:$N,6,FALSE)*SQRT(AO516)),0)</f>
        <v>0</v>
      </c>
      <c r="AU516">
        <f>IF(AND(IFERROR(VLOOKUP(AL516,Equip!$A:$N,13,FALSE),0)&gt;=5,IFERROR(VLOOKUP(AL516,Equip!$A:$N,13,FALSE),0)&lt;=9),INT(VLOOKUP(AL516,Equip!$A:$N,6,FALSE)*SQRT(AP516)),0)</f>
        <v>0</v>
      </c>
      <c r="AV516">
        <f>IF(AND(IFERROR(VLOOKUP(AM516,Equip!$A:$N,13,FALSE),0)&gt;=5,IFERROR(VLOOKUP(AM516,Equip!$A:$N,13,FALSE),0)&lt;=9),INT(VLOOKUP(AM516,Equip!$A:$N,6,FALSE)*SQRT(AQ516)),0)</f>
        <v>0</v>
      </c>
      <c r="AW516">
        <f t="shared" ref="AW516:AW579" si="1560">SUM(AS516:AV516)</f>
        <v>0</v>
      </c>
      <c r="AX516">
        <f t="shared" ref="AX516:AX579" si="1561">SUM(N516,AB516:AE516,AG516:AI516)</f>
        <v>710</v>
      </c>
    </row>
    <row r="517" spans="1:50">
      <c r="A517">
        <v>546</v>
      </c>
      <c r="B517" t="s">
        <v>954</v>
      </c>
      <c r="C517" t="s">
        <v>954</v>
      </c>
      <c r="D517">
        <v>0</v>
      </c>
      <c r="E517">
        <v>0</v>
      </c>
      <c r="F517">
        <v>0</v>
      </c>
      <c r="G517">
        <v>546</v>
      </c>
      <c r="H517">
        <v>0</v>
      </c>
      <c r="I517">
        <v>0</v>
      </c>
      <c r="J517">
        <v>0</v>
      </c>
      <c r="K517">
        <v>7</v>
      </c>
      <c r="L517">
        <v>10</v>
      </c>
      <c r="M517">
        <v>180</v>
      </c>
      <c r="N517">
        <v>180</v>
      </c>
      <c r="O517">
        <v>90</v>
      </c>
      <c r="P517">
        <v>90</v>
      </c>
      <c r="Q517">
        <v>80</v>
      </c>
      <c r="R517">
        <v>20</v>
      </c>
      <c r="S517">
        <v>70</v>
      </c>
      <c r="T517">
        <v>0</v>
      </c>
      <c r="U517">
        <v>5</v>
      </c>
      <c r="V517">
        <v>70</v>
      </c>
      <c r="W517">
        <v>3</v>
      </c>
      <c r="X517">
        <v>30</v>
      </c>
      <c r="Y517">
        <v>5</v>
      </c>
      <c r="Z517">
        <v>0</v>
      </c>
      <c r="AA517">
        <v>0</v>
      </c>
      <c r="AB517">
        <v>90</v>
      </c>
      <c r="AC517">
        <v>80</v>
      </c>
      <c r="AD517">
        <v>70</v>
      </c>
      <c r="AE517">
        <v>90</v>
      </c>
      <c r="AF517">
        <v>30</v>
      </c>
      <c r="AG517">
        <v>20</v>
      </c>
      <c r="AH517">
        <v>0</v>
      </c>
      <c r="AI517">
        <v>70</v>
      </c>
      <c r="AJ517">
        <v>509</v>
      </c>
      <c r="AK517">
        <v>505</v>
      </c>
      <c r="AL517">
        <v>520</v>
      </c>
      <c r="AM517">
        <v>0</v>
      </c>
      <c r="AN517">
        <v>0</v>
      </c>
      <c r="AO517">
        <v>0</v>
      </c>
      <c r="AP517">
        <v>50</v>
      </c>
      <c r="AQ517">
        <v>0</v>
      </c>
      <c r="AR517">
        <f t="shared" si="1499"/>
        <v>50</v>
      </c>
      <c r="AS517">
        <f>IF(AND(IFERROR(VLOOKUP(AJ517,Equip!$A:$N,13,FALSE),0)&gt;=5,IFERROR(VLOOKUP(AJ517,Equip!$A:$N,13,FALSE),0)&lt;=9),INT(VLOOKUP(AJ517,Equip!$A:$N,6,FALSE)*SQRT(AN517)),0)</f>
        <v>0</v>
      </c>
      <c r="AT517">
        <f>IF(AND(IFERROR(VLOOKUP(AK517,Equip!$A:$N,13,FALSE),0)&gt;=5,IFERROR(VLOOKUP(AK517,Equip!$A:$N,13,FALSE),0)&lt;=9),INT(VLOOKUP(AK517,Equip!$A:$N,6,FALSE)*SQRT(AO517)),0)</f>
        <v>0</v>
      </c>
      <c r="AU517">
        <f>IF(AND(IFERROR(VLOOKUP(AL517,Equip!$A:$N,13,FALSE),0)&gt;=5,IFERROR(VLOOKUP(AL517,Equip!$A:$N,13,FALSE),0)&lt;=9),INT(VLOOKUP(AL517,Equip!$A:$N,6,FALSE)*SQRT(AP517)),0)</f>
        <v>0</v>
      </c>
      <c r="AV517">
        <f>IF(AND(IFERROR(VLOOKUP(AM517,Equip!$A:$N,13,FALSE),0)&gt;=5,IFERROR(VLOOKUP(AM517,Equip!$A:$N,13,FALSE),0)&lt;=9),INT(VLOOKUP(AM517,Equip!$A:$N,6,FALSE)*SQRT(AQ517)),0)</f>
        <v>0</v>
      </c>
      <c r="AW517">
        <f t="shared" si="1560"/>
        <v>0</v>
      </c>
      <c r="AX517">
        <f t="shared" si="1561"/>
        <v>600</v>
      </c>
    </row>
    <row r="518" spans="1:50">
      <c r="A518">
        <v>547</v>
      </c>
      <c r="B518" t="s">
        <v>955</v>
      </c>
      <c r="C518" t="s">
        <v>955</v>
      </c>
      <c r="D518">
        <v>0</v>
      </c>
      <c r="E518">
        <v>0</v>
      </c>
      <c r="F518">
        <v>0</v>
      </c>
      <c r="G518">
        <v>547</v>
      </c>
      <c r="H518">
        <v>0</v>
      </c>
      <c r="I518">
        <v>0</v>
      </c>
      <c r="J518">
        <v>0</v>
      </c>
      <c r="K518">
        <v>7</v>
      </c>
      <c r="L518">
        <v>10</v>
      </c>
      <c r="M518">
        <v>240</v>
      </c>
      <c r="N518">
        <v>240</v>
      </c>
      <c r="O518">
        <v>120</v>
      </c>
      <c r="P518">
        <v>100</v>
      </c>
      <c r="Q518">
        <v>90</v>
      </c>
      <c r="R518">
        <v>25</v>
      </c>
      <c r="S518">
        <v>80</v>
      </c>
      <c r="T518">
        <v>0</v>
      </c>
      <c r="U518">
        <v>5</v>
      </c>
      <c r="V518">
        <v>80</v>
      </c>
      <c r="W518">
        <v>3</v>
      </c>
      <c r="X518">
        <v>40</v>
      </c>
      <c r="Y518">
        <v>10</v>
      </c>
      <c r="Z518">
        <v>0</v>
      </c>
      <c r="AA518">
        <v>0</v>
      </c>
      <c r="AB518">
        <v>120</v>
      </c>
      <c r="AC518">
        <v>90</v>
      </c>
      <c r="AD518">
        <v>80</v>
      </c>
      <c r="AE518">
        <v>100</v>
      </c>
      <c r="AF518">
        <v>40</v>
      </c>
      <c r="AG518">
        <v>25</v>
      </c>
      <c r="AH518">
        <v>0</v>
      </c>
      <c r="AI518">
        <v>80</v>
      </c>
      <c r="AJ518">
        <v>509</v>
      </c>
      <c r="AK518">
        <v>520</v>
      </c>
      <c r="AL518">
        <v>524</v>
      </c>
      <c r="AM518">
        <v>0</v>
      </c>
      <c r="AN518">
        <v>0</v>
      </c>
      <c r="AO518">
        <v>70</v>
      </c>
      <c r="AP518">
        <v>70</v>
      </c>
      <c r="AQ518">
        <v>0</v>
      </c>
      <c r="AR518">
        <f t="shared" ref="AR518:AR581" si="1562">SUM(AN518:AQ518)</f>
        <v>140</v>
      </c>
      <c r="AS518">
        <f>IF(AND(IFERROR(VLOOKUP(AJ518,Equip!$A:$N,13,FALSE),0)&gt;=5,IFERROR(VLOOKUP(AJ518,Equip!$A:$N,13,FALSE),0)&lt;=9),INT(VLOOKUP(AJ518,Equip!$A:$N,6,FALSE)*SQRT(AN518)),0)</f>
        <v>0</v>
      </c>
      <c r="AT518">
        <f>IF(AND(IFERROR(VLOOKUP(AK518,Equip!$A:$N,13,FALSE),0)&gt;=5,IFERROR(VLOOKUP(AK518,Equip!$A:$N,13,FALSE),0)&lt;=9),INT(VLOOKUP(AK518,Equip!$A:$N,6,FALSE)*SQRT(AO518)),0)</f>
        <v>0</v>
      </c>
      <c r="AU518">
        <f>IF(AND(IFERROR(VLOOKUP(AL518,Equip!$A:$N,13,FALSE),0)&gt;=5,IFERROR(VLOOKUP(AL518,Equip!$A:$N,13,FALSE),0)&lt;=9),INT(VLOOKUP(AL518,Equip!$A:$N,6,FALSE)*SQRT(AP518)),0)</f>
        <v>0</v>
      </c>
      <c r="AV518">
        <f>IF(AND(IFERROR(VLOOKUP(AM518,Equip!$A:$N,13,FALSE),0)&gt;=5,IFERROR(VLOOKUP(AM518,Equip!$A:$N,13,FALSE),0)&lt;=9),INT(VLOOKUP(AM518,Equip!$A:$N,6,FALSE)*SQRT(AQ518)),0)</f>
        <v>0</v>
      </c>
      <c r="AW518">
        <f t="shared" si="1560"/>
        <v>0</v>
      </c>
      <c r="AX518">
        <f t="shared" si="1561"/>
        <v>735</v>
      </c>
    </row>
    <row r="519" spans="1:50">
      <c r="A519">
        <v>548</v>
      </c>
      <c r="B519" t="s">
        <v>956</v>
      </c>
      <c r="C519" t="s">
        <v>956</v>
      </c>
      <c r="D519">
        <v>0</v>
      </c>
      <c r="E519">
        <v>0</v>
      </c>
      <c r="F519">
        <v>0</v>
      </c>
      <c r="G519">
        <v>548</v>
      </c>
      <c r="H519">
        <v>0</v>
      </c>
      <c r="I519">
        <v>0</v>
      </c>
      <c r="J519">
        <v>0</v>
      </c>
      <c r="K519">
        <v>7</v>
      </c>
      <c r="L519">
        <v>10</v>
      </c>
      <c r="M519">
        <v>350</v>
      </c>
      <c r="N519">
        <v>350</v>
      </c>
      <c r="O519">
        <v>160</v>
      </c>
      <c r="P519">
        <v>120</v>
      </c>
      <c r="Q519">
        <v>100</v>
      </c>
      <c r="R519">
        <v>30</v>
      </c>
      <c r="S519">
        <v>80</v>
      </c>
      <c r="T519">
        <v>0</v>
      </c>
      <c r="U519">
        <v>5</v>
      </c>
      <c r="V519">
        <v>90</v>
      </c>
      <c r="W519">
        <v>3</v>
      </c>
      <c r="X519">
        <v>50</v>
      </c>
      <c r="Y519">
        <v>15</v>
      </c>
      <c r="Z519">
        <v>0</v>
      </c>
      <c r="AA519">
        <v>0</v>
      </c>
      <c r="AB519">
        <v>160</v>
      </c>
      <c r="AC519">
        <v>100</v>
      </c>
      <c r="AD519">
        <v>80</v>
      </c>
      <c r="AE519">
        <v>120</v>
      </c>
      <c r="AF519">
        <v>50</v>
      </c>
      <c r="AG519">
        <v>30</v>
      </c>
      <c r="AH519">
        <v>0</v>
      </c>
      <c r="AI519">
        <v>90</v>
      </c>
      <c r="AJ519">
        <v>509</v>
      </c>
      <c r="AK519">
        <v>509</v>
      </c>
      <c r="AL519">
        <v>520</v>
      </c>
      <c r="AM519">
        <v>0</v>
      </c>
      <c r="AN519">
        <v>0</v>
      </c>
      <c r="AO519">
        <v>0</v>
      </c>
      <c r="AP519">
        <v>90</v>
      </c>
      <c r="AQ519">
        <v>0</v>
      </c>
      <c r="AR519">
        <f t="shared" si="1562"/>
        <v>90</v>
      </c>
      <c r="AS519">
        <f>IF(AND(IFERROR(VLOOKUP(AJ519,Equip!$A:$N,13,FALSE),0)&gt;=5,IFERROR(VLOOKUP(AJ519,Equip!$A:$N,13,FALSE),0)&lt;=9),INT(VLOOKUP(AJ519,Equip!$A:$N,6,FALSE)*SQRT(AN519)),0)</f>
        <v>0</v>
      </c>
      <c r="AT519">
        <f>IF(AND(IFERROR(VLOOKUP(AK519,Equip!$A:$N,13,FALSE),0)&gt;=5,IFERROR(VLOOKUP(AK519,Equip!$A:$N,13,FALSE),0)&lt;=9),INT(VLOOKUP(AK519,Equip!$A:$N,6,FALSE)*SQRT(AO519)),0)</f>
        <v>0</v>
      </c>
      <c r="AU519">
        <f>IF(AND(IFERROR(VLOOKUP(AL519,Equip!$A:$N,13,FALSE),0)&gt;=5,IFERROR(VLOOKUP(AL519,Equip!$A:$N,13,FALSE),0)&lt;=9),INT(VLOOKUP(AL519,Equip!$A:$N,6,FALSE)*SQRT(AP519)),0)</f>
        <v>0</v>
      </c>
      <c r="AV519">
        <f>IF(AND(IFERROR(VLOOKUP(AM519,Equip!$A:$N,13,FALSE),0)&gt;=5,IFERROR(VLOOKUP(AM519,Equip!$A:$N,13,FALSE),0)&lt;=9),INT(VLOOKUP(AM519,Equip!$A:$N,6,FALSE)*SQRT(AQ519)),0)</f>
        <v>0</v>
      </c>
      <c r="AW519">
        <f t="shared" si="1560"/>
        <v>0</v>
      </c>
      <c r="AX519">
        <f t="shared" si="1561"/>
        <v>930</v>
      </c>
    </row>
    <row r="520" spans="1:50">
      <c r="A520">
        <v>549</v>
      </c>
      <c r="B520" t="s">
        <v>957</v>
      </c>
      <c r="C520" t="s">
        <v>957</v>
      </c>
      <c r="D520">
        <v>0</v>
      </c>
      <c r="E520">
        <v>0</v>
      </c>
      <c r="F520">
        <v>0</v>
      </c>
      <c r="G520">
        <v>549</v>
      </c>
      <c r="H520">
        <v>0</v>
      </c>
      <c r="I520">
        <v>0</v>
      </c>
      <c r="J520">
        <v>0</v>
      </c>
      <c r="K520">
        <v>7</v>
      </c>
      <c r="L520">
        <v>10</v>
      </c>
      <c r="M520">
        <v>66</v>
      </c>
      <c r="N520">
        <v>66</v>
      </c>
      <c r="O520">
        <v>55</v>
      </c>
      <c r="P520">
        <v>50</v>
      </c>
      <c r="Q520">
        <v>45</v>
      </c>
      <c r="R520">
        <v>5</v>
      </c>
      <c r="S520">
        <v>20</v>
      </c>
      <c r="T520">
        <v>0</v>
      </c>
      <c r="U520">
        <v>10</v>
      </c>
      <c r="V520">
        <v>10</v>
      </c>
      <c r="W520">
        <v>2</v>
      </c>
      <c r="X520">
        <v>1</v>
      </c>
      <c r="Y520">
        <v>5</v>
      </c>
      <c r="Z520">
        <v>0</v>
      </c>
      <c r="AA520">
        <v>0</v>
      </c>
      <c r="AB520">
        <v>55</v>
      </c>
      <c r="AC520">
        <v>45</v>
      </c>
      <c r="AD520">
        <v>20</v>
      </c>
      <c r="AE520">
        <v>50</v>
      </c>
      <c r="AF520">
        <v>1</v>
      </c>
      <c r="AG520">
        <v>5</v>
      </c>
      <c r="AH520">
        <v>0</v>
      </c>
      <c r="AI520">
        <v>10</v>
      </c>
      <c r="AJ520">
        <v>505</v>
      </c>
      <c r="AK520">
        <v>520</v>
      </c>
      <c r="AL520">
        <v>517</v>
      </c>
      <c r="AM520">
        <v>-1</v>
      </c>
      <c r="AN520">
        <v>0</v>
      </c>
      <c r="AO520">
        <v>35</v>
      </c>
      <c r="AP520">
        <v>35</v>
      </c>
      <c r="AQ520">
        <v>0</v>
      </c>
      <c r="AR520">
        <f t="shared" si="1562"/>
        <v>70</v>
      </c>
      <c r="AS520">
        <f>IF(AND(IFERROR(VLOOKUP(AJ520,Equip!$A:$N,13,FALSE),0)&gt;=5,IFERROR(VLOOKUP(AJ520,Equip!$A:$N,13,FALSE),0)&lt;=9),INT(VLOOKUP(AJ520,Equip!$A:$N,6,FALSE)*SQRT(AN520)),0)</f>
        <v>0</v>
      </c>
      <c r="AT520">
        <f>IF(AND(IFERROR(VLOOKUP(AK520,Equip!$A:$N,13,FALSE),0)&gt;=5,IFERROR(VLOOKUP(AK520,Equip!$A:$N,13,FALSE),0)&lt;=9),INT(VLOOKUP(AK520,Equip!$A:$N,6,FALSE)*SQRT(AO520)),0)</f>
        <v>0</v>
      </c>
      <c r="AU520">
        <f>IF(AND(IFERROR(VLOOKUP(AL520,Equip!$A:$N,13,FALSE),0)&gt;=5,IFERROR(VLOOKUP(AL520,Equip!$A:$N,13,FALSE),0)&lt;=9),INT(VLOOKUP(AL520,Equip!$A:$N,6,FALSE)*SQRT(AP520)),0)</f>
        <v>0</v>
      </c>
      <c r="AV520">
        <f>IF(AND(IFERROR(VLOOKUP(AM520,Equip!$A:$N,13,FALSE),0)&gt;=5,IFERROR(VLOOKUP(AM520,Equip!$A:$N,13,FALSE),0)&lt;=9),INT(VLOOKUP(AM520,Equip!$A:$N,6,FALSE)*SQRT(AQ520)),0)</f>
        <v>0</v>
      </c>
      <c r="AW520">
        <f t="shared" si="1560"/>
        <v>0</v>
      </c>
      <c r="AX520">
        <f t="shared" si="1561"/>
        <v>251</v>
      </c>
    </row>
    <row r="521" spans="1:50">
      <c r="A521">
        <v>550</v>
      </c>
      <c r="B521" t="s">
        <v>957</v>
      </c>
      <c r="C521" t="s">
        <v>957</v>
      </c>
      <c r="D521">
        <v>0</v>
      </c>
      <c r="E521">
        <v>0</v>
      </c>
      <c r="F521">
        <v>0</v>
      </c>
      <c r="G521">
        <v>549</v>
      </c>
      <c r="H521">
        <v>0</v>
      </c>
      <c r="I521">
        <v>0</v>
      </c>
      <c r="J521">
        <v>0</v>
      </c>
      <c r="K521">
        <v>7</v>
      </c>
      <c r="L521">
        <v>10</v>
      </c>
      <c r="M521">
        <v>66</v>
      </c>
      <c r="N521">
        <v>66</v>
      </c>
      <c r="O521">
        <v>55</v>
      </c>
      <c r="P521">
        <v>50</v>
      </c>
      <c r="Q521">
        <v>45</v>
      </c>
      <c r="R521">
        <v>5</v>
      </c>
      <c r="S521">
        <v>20</v>
      </c>
      <c r="T521">
        <v>0</v>
      </c>
      <c r="U521">
        <v>10</v>
      </c>
      <c r="V521">
        <v>10</v>
      </c>
      <c r="W521">
        <v>2</v>
      </c>
      <c r="X521">
        <v>1</v>
      </c>
      <c r="Y521">
        <v>5</v>
      </c>
      <c r="Z521">
        <v>0</v>
      </c>
      <c r="AA521">
        <v>0</v>
      </c>
      <c r="AB521">
        <v>55</v>
      </c>
      <c r="AC521">
        <v>45</v>
      </c>
      <c r="AD521">
        <v>20</v>
      </c>
      <c r="AE521">
        <v>50</v>
      </c>
      <c r="AF521">
        <v>1</v>
      </c>
      <c r="AG521">
        <v>5</v>
      </c>
      <c r="AH521">
        <v>0</v>
      </c>
      <c r="AI521">
        <v>10</v>
      </c>
      <c r="AJ521">
        <v>505</v>
      </c>
      <c r="AK521">
        <v>520</v>
      </c>
      <c r="AL521">
        <v>517</v>
      </c>
      <c r="AM521">
        <v>-1</v>
      </c>
      <c r="AN521">
        <v>0</v>
      </c>
      <c r="AO521">
        <v>35</v>
      </c>
      <c r="AP521">
        <v>35</v>
      </c>
      <c r="AQ521">
        <v>0</v>
      </c>
      <c r="AR521">
        <f t="shared" si="1562"/>
        <v>70</v>
      </c>
      <c r="AS521">
        <f>IF(AND(IFERROR(VLOOKUP(AJ521,Equip!$A:$N,13,FALSE),0)&gt;=5,IFERROR(VLOOKUP(AJ521,Equip!$A:$N,13,FALSE),0)&lt;=9),INT(VLOOKUP(AJ521,Equip!$A:$N,6,FALSE)*SQRT(AN521)),0)</f>
        <v>0</v>
      </c>
      <c r="AT521">
        <f>IF(AND(IFERROR(VLOOKUP(AK521,Equip!$A:$N,13,FALSE),0)&gt;=5,IFERROR(VLOOKUP(AK521,Equip!$A:$N,13,FALSE),0)&lt;=9),INT(VLOOKUP(AK521,Equip!$A:$N,6,FALSE)*SQRT(AO521)),0)</f>
        <v>0</v>
      </c>
      <c r="AU521">
        <f>IF(AND(IFERROR(VLOOKUP(AL521,Equip!$A:$N,13,FALSE),0)&gt;=5,IFERROR(VLOOKUP(AL521,Equip!$A:$N,13,FALSE),0)&lt;=9),INT(VLOOKUP(AL521,Equip!$A:$N,6,FALSE)*SQRT(AP521)),0)</f>
        <v>0</v>
      </c>
      <c r="AV521">
        <f>IF(AND(IFERROR(VLOOKUP(AM521,Equip!$A:$N,13,FALSE),0)&gt;=5,IFERROR(VLOOKUP(AM521,Equip!$A:$N,13,FALSE),0)&lt;=9),INT(VLOOKUP(AM521,Equip!$A:$N,6,FALSE)*SQRT(AQ521)),0)</f>
        <v>0</v>
      </c>
      <c r="AW521">
        <f t="shared" si="1560"/>
        <v>0</v>
      </c>
      <c r="AX521">
        <f t="shared" si="1561"/>
        <v>251</v>
      </c>
    </row>
    <row r="522" spans="1:50">
      <c r="A522">
        <v>551</v>
      </c>
      <c r="B522" t="s">
        <v>957</v>
      </c>
      <c r="C522" t="s">
        <v>957</v>
      </c>
      <c r="D522">
        <v>0</v>
      </c>
      <c r="E522">
        <v>0</v>
      </c>
      <c r="F522">
        <v>0</v>
      </c>
      <c r="G522">
        <v>549</v>
      </c>
      <c r="H522">
        <v>0</v>
      </c>
      <c r="I522">
        <v>0</v>
      </c>
      <c r="J522">
        <v>0</v>
      </c>
      <c r="K522">
        <v>7</v>
      </c>
      <c r="L522">
        <v>10</v>
      </c>
      <c r="M522">
        <v>66</v>
      </c>
      <c r="N522">
        <v>66</v>
      </c>
      <c r="O522">
        <v>55</v>
      </c>
      <c r="P522">
        <v>45</v>
      </c>
      <c r="Q522">
        <v>45</v>
      </c>
      <c r="R522">
        <v>5</v>
      </c>
      <c r="S522">
        <v>20</v>
      </c>
      <c r="T522">
        <v>0</v>
      </c>
      <c r="U522">
        <v>10</v>
      </c>
      <c r="V522">
        <v>10</v>
      </c>
      <c r="W522">
        <v>2</v>
      </c>
      <c r="X522">
        <v>1</v>
      </c>
      <c r="Y522">
        <v>5</v>
      </c>
      <c r="Z522">
        <v>0</v>
      </c>
      <c r="AA522">
        <v>0</v>
      </c>
      <c r="AB522">
        <v>55</v>
      </c>
      <c r="AC522">
        <v>45</v>
      </c>
      <c r="AD522">
        <v>20</v>
      </c>
      <c r="AE522">
        <v>45</v>
      </c>
      <c r="AF522">
        <v>1</v>
      </c>
      <c r="AG522">
        <v>5</v>
      </c>
      <c r="AH522">
        <v>0</v>
      </c>
      <c r="AI522">
        <v>10</v>
      </c>
      <c r="AJ522">
        <v>505</v>
      </c>
      <c r="AK522">
        <v>520</v>
      </c>
      <c r="AL522">
        <v>524</v>
      </c>
      <c r="AM522">
        <v>-1</v>
      </c>
      <c r="AN522">
        <v>0</v>
      </c>
      <c r="AO522">
        <v>35</v>
      </c>
      <c r="AP522">
        <v>35</v>
      </c>
      <c r="AQ522">
        <v>0</v>
      </c>
      <c r="AR522">
        <f t="shared" si="1562"/>
        <v>70</v>
      </c>
      <c r="AS522">
        <f>IF(AND(IFERROR(VLOOKUP(AJ522,Equip!$A:$N,13,FALSE),0)&gt;=5,IFERROR(VLOOKUP(AJ522,Equip!$A:$N,13,FALSE),0)&lt;=9),INT(VLOOKUP(AJ522,Equip!$A:$N,6,FALSE)*SQRT(AN522)),0)</f>
        <v>0</v>
      </c>
      <c r="AT522">
        <f>IF(AND(IFERROR(VLOOKUP(AK522,Equip!$A:$N,13,FALSE),0)&gt;=5,IFERROR(VLOOKUP(AK522,Equip!$A:$N,13,FALSE),0)&lt;=9),INT(VLOOKUP(AK522,Equip!$A:$N,6,FALSE)*SQRT(AO522)),0)</f>
        <v>0</v>
      </c>
      <c r="AU522">
        <f>IF(AND(IFERROR(VLOOKUP(AL522,Equip!$A:$N,13,FALSE),0)&gt;=5,IFERROR(VLOOKUP(AL522,Equip!$A:$N,13,FALSE),0)&lt;=9),INT(VLOOKUP(AL522,Equip!$A:$N,6,FALSE)*SQRT(AP522)),0)</f>
        <v>0</v>
      </c>
      <c r="AV522">
        <f>IF(AND(IFERROR(VLOOKUP(AM522,Equip!$A:$N,13,FALSE),0)&gt;=5,IFERROR(VLOOKUP(AM522,Equip!$A:$N,13,FALSE),0)&lt;=9),INT(VLOOKUP(AM522,Equip!$A:$N,6,FALSE)*SQRT(AQ522)),0)</f>
        <v>0</v>
      </c>
      <c r="AW522">
        <f t="shared" si="1560"/>
        <v>0</v>
      </c>
      <c r="AX522">
        <f t="shared" si="1561"/>
        <v>246</v>
      </c>
    </row>
    <row r="523" spans="1:50">
      <c r="A523">
        <v>552</v>
      </c>
      <c r="B523" t="s">
        <v>1241</v>
      </c>
      <c r="C523" t="s">
        <v>1241</v>
      </c>
      <c r="D523">
        <v>0</v>
      </c>
      <c r="E523">
        <v>0</v>
      </c>
      <c r="F523">
        <v>0</v>
      </c>
      <c r="G523">
        <v>502</v>
      </c>
      <c r="H523">
        <v>0</v>
      </c>
      <c r="I523">
        <v>0</v>
      </c>
      <c r="J523">
        <v>0</v>
      </c>
      <c r="K523">
        <v>1</v>
      </c>
      <c r="L523">
        <v>1</v>
      </c>
      <c r="M523">
        <v>43</v>
      </c>
      <c r="N523">
        <v>43</v>
      </c>
      <c r="O523">
        <v>33</v>
      </c>
      <c r="P523">
        <v>24</v>
      </c>
      <c r="Q523">
        <v>60</v>
      </c>
      <c r="R523">
        <v>52</v>
      </c>
      <c r="S523">
        <v>24</v>
      </c>
      <c r="T523">
        <v>55</v>
      </c>
      <c r="U523">
        <v>10</v>
      </c>
      <c r="V523">
        <v>10</v>
      </c>
      <c r="W523">
        <v>1</v>
      </c>
      <c r="X523">
        <v>20</v>
      </c>
      <c r="Y523">
        <v>5</v>
      </c>
      <c r="Z523">
        <v>0</v>
      </c>
      <c r="AA523">
        <v>0</v>
      </c>
      <c r="AB523">
        <v>33</v>
      </c>
      <c r="AC523">
        <v>60</v>
      </c>
      <c r="AD523">
        <v>24</v>
      </c>
      <c r="AE523">
        <v>24</v>
      </c>
      <c r="AF523">
        <v>20</v>
      </c>
      <c r="AG523">
        <v>52</v>
      </c>
      <c r="AH523">
        <v>55</v>
      </c>
      <c r="AI523">
        <v>10</v>
      </c>
      <c r="AJ523">
        <v>502</v>
      </c>
      <c r="AK523">
        <v>515</v>
      </c>
      <c r="AL523">
        <v>542</v>
      </c>
      <c r="AM523">
        <v>-1</v>
      </c>
      <c r="AN523">
        <v>0</v>
      </c>
      <c r="AO523">
        <v>0</v>
      </c>
      <c r="AP523">
        <v>0</v>
      </c>
      <c r="AQ523">
        <v>0</v>
      </c>
      <c r="AR523">
        <f t="shared" si="1562"/>
        <v>0</v>
      </c>
      <c r="AS523">
        <f>IF(AND(IFERROR(VLOOKUP(AJ523,Equip!$A:$N,13,FALSE),0)&gt;=5,IFERROR(VLOOKUP(AJ523,Equip!$A:$N,13,FALSE),0)&lt;=9),INT(VLOOKUP(AJ523,Equip!$A:$N,6,FALSE)*SQRT(AN523)),0)</f>
        <v>0</v>
      </c>
      <c r="AT523">
        <f>IF(AND(IFERROR(VLOOKUP(AK523,Equip!$A:$N,13,FALSE),0)&gt;=5,IFERROR(VLOOKUP(AK523,Equip!$A:$N,13,FALSE),0)&lt;=9),INT(VLOOKUP(AK523,Equip!$A:$N,6,FALSE)*SQRT(AO523)),0)</f>
        <v>0</v>
      </c>
      <c r="AU523">
        <f>IF(AND(IFERROR(VLOOKUP(AL523,Equip!$A:$N,13,FALSE),0)&gt;=5,IFERROR(VLOOKUP(AL523,Equip!$A:$N,13,FALSE),0)&lt;=9),INT(VLOOKUP(AL523,Equip!$A:$N,6,FALSE)*SQRT(AP523)),0)</f>
        <v>0</v>
      </c>
      <c r="AV523">
        <f>IF(AND(IFERROR(VLOOKUP(AM523,Equip!$A:$N,13,FALSE),0)&gt;=5,IFERROR(VLOOKUP(AM523,Equip!$A:$N,13,FALSE),0)&lt;=9),INT(VLOOKUP(AM523,Equip!$A:$N,6,FALSE)*SQRT(AQ523)),0)</f>
        <v>0</v>
      </c>
      <c r="AW523">
        <f t="shared" si="1560"/>
        <v>0</v>
      </c>
      <c r="AX523">
        <f t="shared" si="1561"/>
        <v>301</v>
      </c>
    </row>
    <row r="524" spans="1:50">
      <c r="A524">
        <v>553</v>
      </c>
      <c r="B524" t="s">
        <v>1242</v>
      </c>
      <c r="C524" t="s">
        <v>1242</v>
      </c>
      <c r="D524">
        <v>0</v>
      </c>
      <c r="E524">
        <v>0</v>
      </c>
      <c r="F524">
        <v>0</v>
      </c>
      <c r="G524">
        <v>503</v>
      </c>
      <c r="H524">
        <v>0</v>
      </c>
      <c r="I524">
        <v>0</v>
      </c>
      <c r="J524">
        <v>0</v>
      </c>
      <c r="K524">
        <v>1</v>
      </c>
      <c r="L524">
        <v>1</v>
      </c>
      <c r="M524">
        <v>47</v>
      </c>
      <c r="N524">
        <v>47</v>
      </c>
      <c r="O524">
        <v>30</v>
      </c>
      <c r="P524">
        <v>27</v>
      </c>
      <c r="Q524">
        <v>60</v>
      </c>
      <c r="R524">
        <v>54</v>
      </c>
      <c r="S524">
        <v>24</v>
      </c>
      <c r="T524">
        <v>60</v>
      </c>
      <c r="U524">
        <v>10</v>
      </c>
      <c r="V524">
        <v>12</v>
      </c>
      <c r="W524">
        <v>1</v>
      </c>
      <c r="X524">
        <v>20</v>
      </c>
      <c r="Y524">
        <v>5</v>
      </c>
      <c r="Z524">
        <v>0</v>
      </c>
      <c r="AA524">
        <v>0</v>
      </c>
      <c r="AB524">
        <v>30</v>
      </c>
      <c r="AC524">
        <v>60</v>
      </c>
      <c r="AD524">
        <v>24</v>
      </c>
      <c r="AE524">
        <v>27</v>
      </c>
      <c r="AF524">
        <v>20</v>
      </c>
      <c r="AG524">
        <v>54</v>
      </c>
      <c r="AH524">
        <v>60</v>
      </c>
      <c r="AI524">
        <v>12</v>
      </c>
      <c r="AJ524">
        <v>502</v>
      </c>
      <c r="AK524">
        <v>515</v>
      </c>
      <c r="AL524">
        <v>542</v>
      </c>
      <c r="AM524">
        <v>-1</v>
      </c>
      <c r="AN524">
        <v>0</v>
      </c>
      <c r="AO524">
        <v>0</v>
      </c>
      <c r="AP524">
        <v>0</v>
      </c>
      <c r="AQ524">
        <v>0</v>
      </c>
      <c r="AR524">
        <f t="shared" si="1562"/>
        <v>0</v>
      </c>
      <c r="AS524">
        <f>IF(AND(IFERROR(VLOOKUP(AJ524,Equip!$A:$N,13,FALSE),0)&gt;=5,IFERROR(VLOOKUP(AJ524,Equip!$A:$N,13,FALSE),0)&lt;=9),INT(VLOOKUP(AJ524,Equip!$A:$N,6,FALSE)*SQRT(AN524)),0)</f>
        <v>0</v>
      </c>
      <c r="AT524">
        <f>IF(AND(IFERROR(VLOOKUP(AK524,Equip!$A:$N,13,FALSE),0)&gt;=5,IFERROR(VLOOKUP(AK524,Equip!$A:$N,13,FALSE),0)&lt;=9),INT(VLOOKUP(AK524,Equip!$A:$N,6,FALSE)*SQRT(AO524)),0)</f>
        <v>0</v>
      </c>
      <c r="AU524">
        <f>IF(AND(IFERROR(VLOOKUP(AL524,Equip!$A:$N,13,FALSE),0)&gt;=5,IFERROR(VLOOKUP(AL524,Equip!$A:$N,13,FALSE),0)&lt;=9),INT(VLOOKUP(AL524,Equip!$A:$N,6,FALSE)*SQRT(AP524)),0)</f>
        <v>0</v>
      </c>
      <c r="AV524">
        <f>IF(AND(IFERROR(VLOOKUP(AM524,Equip!$A:$N,13,FALSE),0)&gt;=5,IFERROR(VLOOKUP(AM524,Equip!$A:$N,13,FALSE),0)&lt;=9),INT(VLOOKUP(AM524,Equip!$A:$N,6,FALSE)*SQRT(AQ524)),0)</f>
        <v>0</v>
      </c>
      <c r="AW524">
        <f t="shared" si="1560"/>
        <v>0</v>
      </c>
      <c r="AX524">
        <f t="shared" si="1561"/>
        <v>314</v>
      </c>
    </row>
    <row r="525" spans="1:50">
      <c r="A525">
        <v>554</v>
      </c>
      <c r="B525" t="s">
        <v>1243</v>
      </c>
      <c r="C525" t="s">
        <v>1243</v>
      </c>
      <c r="D525">
        <v>0</v>
      </c>
      <c r="E525">
        <v>0</v>
      </c>
      <c r="F525">
        <v>0</v>
      </c>
      <c r="G525">
        <v>505</v>
      </c>
      <c r="H525">
        <v>0</v>
      </c>
      <c r="I525">
        <v>0</v>
      </c>
      <c r="J525">
        <v>0</v>
      </c>
      <c r="K525">
        <v>2</v>
      </c>
      <c r="L525">
        <v>2</v>
      </c>
      <c r="M525">
        <v>53</v>
      </c>
      <c r="N525">
        <v>53</v>
      </c>
      <c r="O525">
        <v>42</v>
      </c>
      <c r="P525">
        <v>36</v>
      </c>
      <c r="Q525">
        <v>72</v>
      </c>
      <c r="R525">
        <v>44</v>
      </c>
      <c r="S525">
        <v>27</v>
      </c>
      <c r="T525">
        <v>70</v>
      </c>
      <c r="U525">
        <v>10</v>
      </c>
      <c r="V525">
        <v>20</v>
      </c>
      <c r="W525">
        <v>2</v>
      </c>
      <c r="X525">
        <v>20</v>
      </c>
      <c r="Y525">
        <v>5</v>
      </c>
      <c r="Z525">
        <v>0</v>
      </c>
      <c r="AA525">
        <v>0</v>
      </c>
      <c r="AB525">
        <v>42</v>
      </c>
      <c r="AC525">
        <v>72</v>
      </c>
      <c r="AD525">
        <v>27</v>
      </c>
      <c r="AE525">
        <v>36</v>
      </c>
      <c r="AF525">
        <v>20</v>
      </c>
      <c r="AG525">
        <v>44</v>
      </c>
      <c r="AH525">
        <v>70</v>
      </c>
      <c r="AI525">
        <v>20</v>
      </c>
      <c r="AJ525">
        <v>504</v>
      </c>
      <c r="AK525">
        <v>542</v>
      </c>
      <c r="AL525">
        <v>543</v>
      </c>
      <c r="AM525">
        <v>-1</v>
      </c>
      <c r="AN525">
        <v>2</v>
      </c>
      <c r="AO525">
        <v>2</v>
      </c>
      <c r="AP525">
        <v>2</v>
      </c>
      <c r="AQ525">
        <v>0</v>
      </c>
      <c r="AR525">
        <f t="shared" si="1562"/>
        <v>6</v>
      </c>
      <c r="AS525">
        <f>IF(AND(IFERROR(VLOOKUP(AJ525,Equip!$A:$N,13,FALSE),0)&gt;=5,IFERROR(VLOOKUP(AJ525,Equip!$A:$N,13,FALSE),0)&lt;=9),INT(VLOOKUP(AJ525,Equip!$A:$N,6,FALSE)*SQRT(AN525)),0)</f>
        <v>0</v>
      </c>
      <c r="AT525">
        <f>IF(AND(IFERROR(VLOOKUP(AK525,Equip!$A:$N,13,FALSE),0)&gt;=5,IFERROR(VLOOKUP(AK525,Equip!$A:$N,13,FALSE),0)&lt;=9),INT(VLOOKUP(AK525,Equip!$A:$N,6,FALSE)*SQRT(AO525)),0)</f>
        <v>0</v>
      </c>
      <c r="AU525">
        <f>IF(AND(IFERROR(VLOOKUP(AL525,Equip!$A:$N,13,FALSE),0)&gt;=5,IFERROR(VLOOKUP(AL525,Equip!$A:$N,13,FALSE),0)&lt;=9),INT(VLOOKUP(AL525,Equip!$A:$N,6,FALSE)*SQRT(AP525)),0)</f>
        <v>0</v>
      </c>
      <c r="AV525">
        <f>IF(AND(IFERROR(VLOOKUP(AM525,Equip!$A:$N,13,FALSE),0)&gt;=5,IFERROR(VLOOKUP(AM525,Equip!$A:$N,13,FALSE),0)&lt;=9),INT(VLOOKUP(AM525,Equip!$A:$N,6,FALSE)*SQRT(AQ525)),0)</f>
        <v>0</v>
      </c>
      <c r="AW525">
        <f t="shared" si="1560"/>
        <v>0</v>
      </c>
      <c r="AX525">
        <f t="shared" si="1561"/>
        <v>364</v>
      </c>
    </row>
    <row r="526" spans="1:50">
      <c r="A526">
        <v>555</v>
      </c>
      <c r="B526" t="s">
        <v>1244</v>
      </c>
      <c r="C526" t="s">
        <v>1244</v>
      </c>
      <c r="D526">
        <v>0</v>
      </c>
      <c r="E526">
        <v>0</v>
      </c>
      <c r="F526">
        <v>0</v>
      </c>
      <c r="G526">
        <v>506</v>
      </c>
      <c r="H526">
        <v>0</v>
      </c>
      <c r="I526">
        <v>0</v>
      </c>
      <c r="J526">
        <v>0</v>
      </c>
      <c r="K526">
        <v>2</v>
      </c>
      <c r="L526">
        <v>2</v>
      </c>
      <c r="M526">
        <v>57</v>
      </c>
      <c r="N526">
        <v>57</v>
      </c>
      <c r="O526">
        <v>48</v>
      </c>
      <c r="P526">
        <v>39</v>
      </c>
      <c r="Q526">
        <v>80</v>
      </c>
      <c r="R526">
        <v>46</v>
      </c>
      <c r="S526">
        <v>30</v>
      </c>
      <c r="T526">
        <v>80</v>
      </c>
      <c r="U526">
        <v>10</v>
      </c>
      <c r="V526">
        <v>24</v>
      </c>
      <c r="W526">
        <v>2</v>
      </c>
      <c r="X526">
        <v>20</v>
      </c>
      <c r="Y526">
        <v>5</v>
      </c>
      <c r="Z526">
        <v>0</v>
      </c>
      <c r="AA526">
        <v>0</v>
      </c>
      <c r="AB526">
        <v>48</v>
      </c>
      <c r="AC526">
        <v>80</v>
      </c>
      <c r="AD526">
        <v>30</v>
      </c>
      <c r="AE526">
        <v>39</v>
      </c>
      <c r="AF526">
        <v>20</v>
      </c>
      <c r="AG526">
        <v>46</v>
      </c>
      <c r="AH526">
        <v>80</v>
      </c>
      <c r="AI526">
        <v>24</v>
      </c>
      <c r="AJ526">
        <v>506</v>
      </c>
      <c r="AK526">
        <v>525</v>
      </c>
      <c r="AL526">
        <v>542</v>
      </c>
      <c r="AM526">
        <v>543</v>
      </c>
      <c r="AN526">
        <v>2</v>
      </c>
      <c r="AO526">
        <v>2</v>
      </c>
      <c r="AP526">
        <v>2</v>
      </c>
      <c r="AQ526">
        <v>2</v>
      </c>
      <c r="AR526">
        <f t="shared" si="1562"/>
        <v>8</v>
      </c>
      <c r="AS526">
        <f>IF(AND(IFERROR(VLOOKUP(AJ526,Equip!$A:$N,13,FALSE),0)&gt;=5,IFERROR(VLOOKUP(AJ526,Equip!$A:$N,13,FALSE),0)&lt;=9),INT(VLOOKUP(AJ526,Equip!$A:$N,6,FALSE)*SQRT(AN526)),0)</f>
        <v>0</v>
      </c>
      <c r="AT526">
        <f>IF(AND(IFERROR(VLOOKUP(AK526,Equip!$A:$N,13,FALSE),0)&gt;=5,IFERROR(VLOOKUP(AK526,Equip!$A:$N,13,FALSE),0)&lt;=9),INT(VLOOKUP(AK526,Equip!$A:$N,6,FALSE)*SQRT(AO526)),0)</f>
        <v>0</v>
      </c>
      <c r="AU526">
        <f>IF(AND(IFERROR(VLOOKUP(AL526,Equip!$A:$N,13,FALSE),0)&gt;=5,IFERROR(VLOOKUP(AL526,Equip!$A:$N,13,FALSE),0)&lt;=9),INT(VLOOKUP(AL526,Equip!$A:$N,6,FALSE)*SQRT(AP526)),0)</f>
        <v>0</v>
      </c>
      <c r="AV526">
        <f>IF(AND(IFERROR(VLOOKUP(AM526,Equip!$A:$N,13,FALSE),0)&gt;=5,IFERROR(VLOOKUP(AM526,Equip!$A:$N,13,FALSE),0)&lt;=9),INT(VLOOKUP(AM526,Equip!$A:$N,6,FALSE)*SQRT(AQ526)),0)</f>
        <v>0</v>
      </c>
      <c r="AW526">
        <f t="shared" si="1560"/>
        <v>0</v>
      </c>
      <c r="AX526">
        <f t="shared" si="1561"/>
        <v>404</v>
      </c>
    </row>
    <row r="527" spans="1:50">
      <c r="A527">
        <v>556</v>
      </c>
      <c r="B527" t="s">
        <v>958</v>
      </c>
      <c r="C527" t="s">
        <v>958</v>
      </c>
      <c r="D527">
        <v>0</v>
      </c>
      <c r="E527">
        <v>2459</v>
      </c>
      <c r="F527">
        <v>1430</v>
      </c>
      <c r="G527">
        <v>556</v>
      </c>
      <c r="H527">
        <v>1</v>
      </c>
      <c r="I527">
        <v>0</v>
      </c>
      <c r="J527">
        <v>11</v>
      </c>
      <c r="K527">
        <v>7</v>
      </c>
      <c r="L527">
        <v>0</v>
      </c>
      <c r="M527">
        <v>500</v>
      </c>
      <c r="N527">
        <v>500</v>
      </c>
      <c r="O527">
        <v>70</v>
      </c>
      <c r="P527">
        <v>140</v>
      </c>
      <c r="Q527">
        <v>0</v>
      </c>
      <c r="R527">
        <v>1</v>
      </c>
      <c r="S527">
        <v>120</v>
      </c>
      <c r="T527">
        <v>0</v>
      </c>
      <c r="U527">
        <v>0</v>
      </c>
      <c r="V527">
        <v>90</v>
      </c>
      <c r="W527">
        <v>2</v>
      </c>
      <c r="X527">
        <v>10</v>
      </c>
      <c r="Y527">
        <v>15</v>
      </c>
      <c r="Z527">
        <v>100</v>
      </c>
      <c r="AA527">
        <v>180</v>
      </c>
      <c r="AB527">
        <v>70</v>
      </c>
      <c r="AC527">
        <v>0</v>
      </c>
      <c r="AD527">
        <v>120</v>
      </c>
      <c r="AE527">
        <v>140</v>
      </c>
      <c r="AF527">
        <v>10</v>
      </c>
      <c r="AG527">
        <v>1</v>
      </c>
      <c r="AH527">
        <v>0</v>
      </c>
      <c r="AI527">
        <v>90</v>
      </c>
      <c r="AJ527">
        <v>520</v>
      </c>
      <c r="AK527">
        <v>520</v>
      </c>
      <c r="AL527">
        <v>524</v>
      </c>
      <c r="AM527">
        <v>517</v>
      </c>
      <c r="AN527">
        <v>98</v>
      </c>
      <c r="AO527">
        <v>98</v>
      </c>
      <c r="AP527">
        <v>98</v>
      </c>
      <c r="AQ527">
        <v>98</v>
      </c>
      <c r="AR527">
        <f t="shared" si="1562"/>
        <v>392</v>
      </c>
      <c r="AS527">
        <f>IF(AND(IFERROR(VLOOKUP(AJ527,Equip!$A:$N,13,FALSE),0)&gt;=5,IFERROR(VLOOKUP(AJ527,Equip!$A:$N,13,FALSE),0)&lt;=9),INT(VLOOKUP(AJ527,Equip!$A:$N,6,FALSE)*SQRT(AN527)),0)</f>
        <v>0</v>
      </c>
      <c r="AT527">
        <f>IF(AND(IFERROR(VLOOKUP(AK527,Equip!$A:$N,13,FALSE),0)&gt;=5,IFERROR(VLOOKUP(AK527,Equip!$A:$N,13,FALSE),0)&lt;=9),INT(VLOOKUP(AK527,Equip!$A:$N,6,FALSE)*SQRT(AO527)),0)</f>
        <v>0</v>
      </c>
      <c r="AU527">
        <f>IF(AND(IFERROR(VLOOKUP(AL527,Equip!$A:$N,13,FALSE),0)&gt;=5,IFERROR(VLOOKUP(AL527,Equip!$A:$N,13,FALSE),0)&lt;=9),INT(VLOOKUP(AL527,Equip!$A:$N,6,FALSE)*SQRT(AP527)),0)</f>
        <v>0</v>
      </c>
      <c r="AV527">
        <f>IF(AND(IFERROR(VLOOKUP(AM527,Equip!$A:$N,13,FALSE),0)&gt;=5,IFERROR(VLOOKUP(AM527,Equip!$A:$N,13,FALSE),0)&lt;=9),INT(VLOOKUP(AM527,Equip!$A:$N,6,FALSE)*SQRT(AQ527)),0)</f>
        <v>0</v>
      </c>
      <c r="AW527">
        <f t="shared" si="1560"/>
        <v>0</v>
      </c>
      <c r="AX527">
        <f t="shared" si="1561"/>
        <v>921</v>
      </c>
    </row>
    <row r="528" spans="1:50">
      <c r="A528">
        <v>557</v>
      </c>
      <c r="B528" t="s">
        <v>959</v>
      </c>
      <c r="C528" t="s">
        <v>959</v>
      </c>
      <c r="D528">
        <v>0</v>
      </c>
      <c r="E528">
        <v>0</v>
      </c>
      <c r="F528">
        <v>0</v>
      </c>
      <c r="G528">
        <v>557</v>
      </c>
      <c r="H528">
        <v>0</v>
      </c>
      <c r="I528">
        <v>0</v>
      </c>
      <c r="J528">
        <v>0</v>
      </c>
      <c r="K528">
        <v>8</v>
      </c>
      <c r="L528">
        <v>10</v>
      </c>
      <c r="M528">
        <v>400</v>
      </c>
      <c r="N528">
        <v>400</v>
      </c>
      <c r="O528">
        <v>180</v>
      </c>
      <c r="P528">
        <v>160</v>
      </c>
      <c r="Q528">
        <v>0</v>
      </c>
      <c r="R528">
        <v>30</v>
      </c>
      <c r="S528">
        <v>80</v>
      </c>
      <c r="T528">
        <v>0</v>
      </c>
      <c r="U528">
        <v>5</v>
      </c>
      <c r="V528">
        <v>70</v>
      </c>
      <c r="W528">
        <v>3</v>
      </c>
      <c r="X528">
        <v>40</v>
      </c>
      <c r="Y528">
        <v>15</v>
      </c>
      <c r="Z528">
        <v>0</v>
      </c>
      <c r="AA528">
        <v>0</v>
      </c>
      <c r="AB528">
        <v>180</v>
      </c>
      <c r="AC528">
        <v>0</v>
      </c>
      <c r="AD528">
        <v>80</v>
      </c>
      <c r="AE528">
        <v>160</v>
      </c>
      <c r="AF528">
        <v>40</v>
      </c>
      <c r="AG528">
        <v>30</v>
      </c>
      <c r="AH528">
        <v>0</v>
      </c>
      <c r="AI528">
        <v>70</v>
      </c>
      <c r="AJ528">
        <v>509</v>
      </c>
      <c r="AK528">
        <v>509</v>
      </c>
      <c r="AL528">
        <v>512</v>
      </c>
      <c r="AM528">
        <v>529</v>
      </c>
      <c r="AN528">
        <v>0</v>
      </c>
      <c r="AO528">
        <v>0</v>
      </c>
      <c r="AP528">
        <v>0</v>
      </c>
      <c r="AQ528">
        <v>6</v>
      </c>
      <c r="AR528">
        <f t="shared" si="1562"/>
        <v>6</v>
      </c>
      <c r="AS528">
        <f>IF(AND(IFERROR(VLOOKUP(AJ528,Equip!$A:$N,13,FALSE),0)&gt;=5,IFERROR(VLOOKUP(AJ528,Equip!$A:$N,13,FALSE),0)&lt;=9),INT(VLOOKUP(AJ528,Equip!$A:$N,6,FALSE)*SQRT(AN528)),0)</f>
        <v>0</v>
      </c>
      <c r="AT528">
        <f>IF(AND(IFERROR(VLOOKUP(AK528,Equip!$A:$N,13,FALSE),0)&gt;=5,IFERROR(VLOOKUP(AK528,Equip!$A:$N,13,FALSE),0)&lt;=9),INT(VLOOKUP(AK528,Equip!$A:$N,6,FALSE)*SQRT(AO528)),0)</f>
        <v>0</v>
      </c>
      <c r="AU528">
        <f>IF(AND(IFERROR(VLOOKUP(AL528,Equip!$A:$N,13,FALSE),0)&gt;=5,IFERROR(VLOOKUP(AL528,Equip!$A:$N,13,FALSE),0)&lt;=9),INT(VLOOKUP(AL528,Equip!$A:$N,6,FALSE)*SQRT(AP528)),0)</f>
        <v>0</v>
      </c>
      <c r="AV528">
        <f>IF(AND(IFERROR(VLOOKUP(AM528,Equip!$A:$N,13,FALSE),0)&gt;=5,IFERROR(VLOOKUP(AM528,Equip!$A:$N,13,FALSE),0)&lt;=9),INT(VLOOKUP(AM528,Equip!$A:$N,6,FALSE)*SQRT(AQ528)),0)</f>
        <v>0</v>
      </c>
      <c r="AW528">
        <f t="shared" si="1560"/>
        <v>0</v>
      </c>
      <c r="AX528">
        <f t="shared" si="1561"/>
        <v>920</v>
      </c>
    </row>
    <row r="529" spans="1:50">
      <c r="A529">
        <v>558</v>
      </c>
      <c r="B529" t="s">
        <v>1245</v>
      </c>
      <c r="C529" t="s">
        <v>1245</v>
      </c>
      <c r="D529">
        <v>0</v>
      </c>
      <c r="E529">
        <v>0</v>
      </c>
      <c r="F529">
        <v>0</v>
      </c>
      <c r="G529">
        <v>513</v>
      </c>
      <c r="H529">
        <v>0</v>
      </c>
      <c r="I529">
        <v>0</v>
      </c>
      <c r="J529">
        <v>0</v>
      </c>
      <c r="K529">
        <v>18</v>
      </c>
      <c r="L529">
        <v>4</v>
      </c>
      <c r="M529">
        <v>130</v>
      </c>
      <c r="N529">
        <v>130</v>
      </c>
      <c r="O529">
        <v>55</v>
      </c>
      <c r="P529">
        <v>65</v>
      </c>
      <c r="Q529">
        <v>0</v>
      </c>
      <c r="R529">
        <v>10</v>
      </c>
      <c r="S529">
        <v>40</v>
      </c>
      <c r="T529">
        <v>0</v>
      </c>
      <c r="U529">
        <v>5</v>
      </c>
      <c r="V529">
        <v>10</v>
      </c>
      <c r="W529">
        <v>1</v>
      </c>
      <c r="X529">
        <v>20</v>
      </c>
      <c r="Y529">
        <v>0</v>
      </c>
      <c r="Z529">
        <v>0</v>
      </c>
      <c r="AA529">
        <v>0</v>
      </c>
      <c r="AB529">
        <v>55</v>
      </c>
      <c r="AC529">
        <v>0</v>
      </c>
      <c r="AD529">
        <v>40</v>
      </c>
      <c r="AE529">
        <v>65</v>
      </c>
      <c r="AF529">
        <v>20</v>
      </c>
      <c r="AG529">
        <v>10</v>
      </c>
      <c r="AH529">
        <v>0</v>
      </c>
      <c r="AI529">
        <v>10</v>
      </c>
      <c r="AJ529">
        <v>506</v>
      </c>
      <c r="AK529">
        <v>504</v>
      </c>
      <c r="AL529">
        <v>504</v>
      </c>
      <c r="AM529">
        <v>-1</v>
      </c>
      <c r="AN529">
        <v>0</v>
      </c>
      <c r="AO529">
        <v>0</v>
      </c>
      <c r="AP529">
        <v>0</v>
      </c>
      <c r="AQ529">
        <v>0</v>
      </c>
      <c r="AR529">
        <f t="shared" si="1562"/>
        <v>0</v>
      </c>
      <c r="AS529">
        <f>IF(AND(IFERROR(VLOOKUP(AJ529,Equip!$A:$N,13,FALSE),0)&gt;=5,IFERROR(VLOOKUP(AJ529,Equip!$A:$N,13,FALSE),0)&lt;=9),INT(VLOOKUP(AJ529,Equip!$A:$N,6,FALSE)*SQRT(AN529)),0)</f>
        <v>0</v>
      </c>
      <c r="AT529">
        <f>IF(AND(IFERROR(VLOOKUP(AK529,Equip!$A:$N,13,FALSE),0)&gt;=5,IFERROR(VLOOKUP(AK529,Equip!$A:$N,13,FALSE),0)&lt;=9),INT(VLOOKUP(AK529,Equip!$A:$N,6,FALSE)*SQRT(AO529)),0)</f>
        <v>0</v>
      </c>
      <c r="AU529">
        <f>IF(AND(IFERROR(VLOOKUP(AL529,Equip!$A:$N,13,FALSE),0)&gt;=5,IFERROR(VLOOKUP(AL529,Equip!$A:$N,13,FALSE),0)&lt;=9),INT(VLOOKUP(AL529,Equip!$A:$N,6,FALSE)*SQRT(AP529)),0)</f>
        <v>0</v>
      </c>
      <c r="AV529">
        <f>IF(AND(IFERROR(VLOOKUP(AM529,Equip!$A:$N,13,FALSE),0)&gt;=5,IFERROR(VLOOKUP(AM529,Equip!$A:$N,13,FALSE),0)&lt;=9),INT(VLOOKUP(AM529,Equip!$A:$N,6,FALSE)*SQRT(AQ529)),0)</f>
        <v>0</v>
      </c>
      <c r="AW529">
        <f t="shared" si="1560"/>
        <v>0</v>
      </c>
      <c r="AX529">
        <f t="shared" si="1561"/>
        <v>310</v>
      </c>
    </row>
    <row r="530" spans="1:50">
      <c r="A530">
        <v>559</v>
      </c>
      <c r="B530" t="s">
        <v>1246</v>
      </c>
      <c r="C530" t="s">
        <v>1246</v>
      </c>
      <c r="D530">
        <v>0</v>
      </c>
      <c r="E530">
        <v>0</v>
      </c>
      <c r="F530">
        <v>0</v>
      </c>
      <c r="G530">
        <v>508</v>
      </c>
      <c r="H530">
        <v>0</v>
      </c>
      <c r="I530">
        <v>0</v>
      </c>
      <c r="J530">
        <v>0</v>
      </c>
      <c r="K530">
        <v>4</v>
      </c>
      <c r="L530">
        <v>2</v>
      </c>
      <c r="M530">
        <v>70</v>
      </c>
      <c r="N530">
        <v>70</v>
      </c>
      <c r="O530">
        <v>50</v>
      </c>
      <c r="P530">
        <v>60</v>
      </c>
      <c r="Q530">
        <v>120</v>
      </c>
      <c r="R530">
        <v>55</v>
      </c>
      <c r="S530">
        <v>30</v>
      </c>
      <c r="T530">
        <v>50</v>
      </c>
      <c r="U530">
        <v>10</v>
      </c>
      <c r="V530">
        <v>15</v>
      </c>
      <c r="W530">
        <v>2</v>
      </c>
      <c r="X530">
        <v>30</v>
      </c>
      <c r="Y530">
        <v>10</v>
      </c>
      <c r="Z530">
        <v>0</v>
      </c>
      <c r="AA530">
        <v>0</v>
      </c>
      <c r="AB530">
        <v>50</v>
      </c>
      <c r="AC530">
        <v>120</v>
      </c>
      <c r="AD530">
        <v>30</v>
      </c>
      <c r="AE530">
        <v>60</v>
      </c>
      <c r="AF530">
        <v>30</v>
      </c>
      <c r="AG530">
        <v>55</v>
      </c>
      <c r="AH530">
        <v>50</v>
      </c>
      <c r="AI530">
        <v>15</v>
      </c>
      <c r="AJ530">
        <v>506</v>
      </c>
      <c r="AK530">
        <v>514</v>
      </c>
      <c r="AL530">
        <v>514</v>
      </c>
      <c r="AM530">
        <v>-1</v>
      </c>
      <c r="AN530">
        <v>1</v>
      </c>
      <c r="AO530">
        <v>1</v>
      </c>
      <c r="AP530">
        <v>1</v>
      </c>
      <c r="AQ530">
        <v>0</v>
      </c>
      <c r="AR530">
        <f t="shared" si="1562"/>
        <v>3</v>
      </c>
      <c r="AS530">
        <f>IF(AND(IFERROR(VLOOKUP(AJ530,Equip!$A:$N,13,FALSE),0)&gt;=5,IFERROR(VLOOKUP(AJ530,Equip!$A:$N,13,FALSE),0)&lt;=9),INT(VLOOKUP(AJ530,Equip!$A:$N,6,FALSE)*SQRT(AN530)),0)</f>
        <v>0</v>
      </c>
      <c r="AT530">
        <f>IF(AND(IFERROR(VLOOKUP(AK530,Equip!$A:$N,13,FALSE),0)&gt;=5,IFERROR(VLOOKUP(AK530,Equip!$A:$N,13,FALSE),0)&lt;=9),INT(VLOOKUP(AK530,Equip!$A:$N,6,FALSE)*SQRT(AO530)),0)</f>
        <v>0</v>
      </c>
      <c r="AU530">
        <f>IF(AND(IFERROR(VLOOKUP(AL530,Equip!$A:$N,13,FALSE),0)&gt;=5,IFERROR(VLOOKUP(AL530,Equip!$A:$N,13,FALSE),0)&lt;=9),INT(VLOOKUP(AL530,Equip!$A:$N,6,FALSE)*SQRT(AP530)),0)</f>
        <v>0</v>
      </c>
      <c r="AV530">
        <f>IF(AND(IFERROR(VLOOKUP(AM530,Equip!$A:$N,13,FALSE),0)&gt;=5,IFERROR(VLOOKUP(AM530,Equip!$A:$N,13,FALSE),0)&lt;=9),INT(VLOOKUP(AM530,Equip!$A:$N,6,FALSE)*SQRT(AQ530)),0)</f>
        <v>0</v>
      </c>
      <c r="AW530">
        <f t="shared" si="1560"/>
        <v>0</v>
      </c>
      <c r="AX530">
        <f t="shared" si="1561"/>
        <v>450</v>
      </c>
    </row>
    <row r="531" spans="1:50">
      <c r="A531">
        <v>560</v>
      </c>
      <c r="B531" t="s">
        <v>1247</v>
      </c>
      <c r="C531" t="s">
        <v>1247</v>
      </c>
      <c r="D531">
        <v>0</v>
      </c>
      <c r="E531">
        <v>0</v>
      </c>
      <c r="F531">
        <v>0</v>
      </c>
      <c r="G531">
        <v>510</v>
      </c>
      <c r="H531">
        <v>0</v>
      </c>
      <c r="I531">
        <v>0</v>
      </c>
      <c r="J531">
        <v>0</v>
      </c>
      <c r="K531">
        <v>9</v>
      </c>
      <c r="L531">
        <v>4</v>
      </c>
      <c r="M531">
        <v>84</v>
      </c>
      <c r="N531">
        <v>84</v>
      </c>
      <c r="O531">
        <v>18</v>
      </c>
      <c r="P531">
        <v>70</v>
      </c>
      <c r="Q531">
        <v>0</v>
      </c>
      <c r="R531">
        <v>40</v>
      </c>
      <c r="S531">
        <v>36</v>
      </c>
      <c r="T531">
        <v>0</v>
      </c>
      <c r="U531">
        <v>5</v>
      </c>
      <c r="V531">
        <v>40</v>
      </c>
      <c r="W531">
        <v>0</v>
      </c>
      <c r="X531">
        <v>30</v>
      </c>
      <c r="Y531">
        <v>5</v>
      </c>
      <c r="Z531">
        <v>0</v>
      </c>
      <c r="AA531">
        <v>0</v>
      </c>
      <c r="AB531">
        <v>18</v>
      </c>
      <c r="AC531">
        <v>0</v>
      </c>
      <c r="AD531">
        <v>36</v>
      </c>
      <c r="AE531">
        <v>70</v>
      </c>
      <c r="AF531">
        <v>30</v>
      </c>
      <c r="AG531">
        <v>40</v>
      </c>
      <c r="AH531">
        <v>0</v>
      </c>
      <c r="AI531">
        <v>40</v>
      </c>
      <c r="AJ531">
        <v>520</v>
      </c>
      <c r="AK531">
        <v>524</v>
      </c>
      <c r="AL531">
        <v>524</v>
      </c>
      <c r="AM531">
        <v>517</v>
      </c>
      <c r="AN531">
        <v>22</v>
      </c>
      <c r="AO531">
        <v>22</v>
      </c>
      <c r="AP531">
        <v>22</v>
      </c>
      <c r="AQ531">
        <v>22</v>
      </c>
      <c r="AR531">
        <f t="shared" si="1562"/>
        <v>88</v>
      </c>
      <c r="AS531">
        <f>IF(AND(IFERROR(VLOOKUP(AJ531,Equip!$A:$N,13,FALSE),0)&gt;=5,IFERROR(VLOOKUP(AJ531,Equip!$A:$N,13,FALSE),0)&lt;=9),INT(VLOOKUP(AJ531,Equip!$A:$N,6,FALSE)*SQRT(AN531)),0)</f>
        <v>0</v>
      </c>
      <c r="AT531">
        <f>IF(AND(IFERROR(VLOOKUP(AK531,Equip!$A:$N,13,FALSE),0)&gt;=5,IFERROR(VLOOKUP(AK531,Equip!$A:$N,13,FALSE),0)&lt;=9),INT(VLOOKUP(AK531,Equip!$A:$N,6,FALSE)*SQRT(AO531)),0)</f>
        <v>0</v>
      </c>
      <c r="AU531">
        <f>IF(AND(IFERROR(VLOOKUP(AL531,Equip!$A:$N,13,FALSE),0)&gt;=5,IFERROR(VLOOKUP(AL531,Equip!$A:$N,13,FALSE),0)&lt;=9),INT(VLOOKUP(AL531,Equip!$A:$N,6,FALSE)*SQRT(AP531)),0)</f>
        <v>0</v>
      </c>
      <c r="AV531">
        <f>IF(AND(IFERROR(VLOOKUP(AM531,Equip!$A:$N,13,FALSE),0)&gt;=5,IFERROR(VLOOKUP(AM531,Equip!$A:$N,13,FALSE),0)&lt;=9),INT(VLOOKUP(AM531,Equip!$A:$N,6,FALSE)*SQRT(AQ531)),0)</f>
        <v>0</v>
      </c>
      <c r="AW531">
        <f t="shared" si="1560"/>
        <v>0</v>
      </c>
      <c r="AX531">
        <f t="shared" si="1561"/>
        <v>288</v>
      </c>
    </row>
    <row r="532" spans="1:50">
      <c r="A532">
        <v>561</v>
      </c>
      <c r="B532" t="s">
        <v>960</v>
      </c>
      <c r="C532" t="s">
        <v>960</v>
      </c>
      <c r="D532">
        <v>0</v>
      </c>
      <c r="E532">
        <v>0</v>
      </c>
      <c r="F532">
        <v>0</v>
      </c>
      <c r="G532">
        <v>561</v>
      </c>
      <c r="H532">
        <v>0</v>
      </c>
      <c r="I532">
        <v>0</v>
      </c>
      <c r="J532">
        <v>0</v>
      </c>
      <c r="K532">
        <v>7</v>
      </c>
      <c r="L532">
        <v>10</v>
      </c>
      <c r="M532">
        <v>180</v>
      </c>
      <c r="N532">
        <v>180</v>
      </c>
      <c r="O532">
        <v>90</v>
      </c>
      <c r="P532">
        <v>110</v>
      </c>
      <c r="Q532">
        <v>100</v>
      </c>
      <c r="R532">
        <v>45</v>
      </c>
      <c r="S532">
        <v>80</v>
      </c>
      <c r="T532">
        <v>90</v>
      </c>
      <c r="U532">
        <v>10</v>
      </c>
      <c r="V532">
        <v>50</v>
      </c>
      <c r="W532">
        <v>3</v>
      </c>
      <c r="X532">
        <v>60</v>
      </c>
      <c r="Y532">
        <v>10</v>
      </c>
      <c r="Z532">
        <v>0</v>
      </c>
      <c r="AA532">
        <v>0</v>
      </c>
      <c r="AB532">
        <v>90</v>
      </c>
      <c r="AC532">
        <v>100</v>
      </c>
      <c r="AD532">
        <v>80</v>
      </c>
      <c r="AE532">
        <v>110</v>
      </c>
      <c r="AF532">
        <v>60</v>
      </c>
      <c r="AG532">
        <v>45</v>
      </c>
      <c r="AH532">
        <v>90</v>
      </c>
      <c r="AI532">
        <v>50</v>
      </c>
      <c r="AJ532">
        <v>509</v>
      </c>
      <c r="AK532">
        <v>512</v>
      </c>
      <c r="AL532">
        <v>515</v>
      </c>
      <c r="AM532">
        <v>546</v>
      </c>
      <c r="AN532">
        <v>0</v>
      </c>
      <c r="AO532">
        <v>0</v>
      </c>
      <c r="AP532">
        <v>0</v>
      </c>
      <c r="AQ532">
        <v>140</v>
      </c>
      <c r="AR532">
        <f t="shared" si="1562"/>
        <v>140</v>
      </c>
      <c r="AS532">
        <f>IF(AND(IFERROR(VLOOKUP(AJ532,Equip!$A:$N,13,FALSE),0)&gt;=5,IFERROR(VLOOKUP(AJ532,Equip!$A:$N,13,FALSE),0)&lt;=9),INT(VLOOKUP(AJ532,Equip!$A:$N,6,FALSE)*SQRT(AN532)),0)</f>
        <v>0</v>
      </c>
      <c r="AT532">
        <f>IF(AND(IFERROR(VLOOKUP(AK532,Equip!$A:$N,13,FALSE),0)&gt;=5,IFERROR(VLOOKUP(AK532,Equip!$A:$N,13,FALSE),0)&lt;=9),INT(VLOOKUP(AK532,Equip!$A:$N,6,FALSE)*SQRT(AO532)),0)</f>
        <v>0</v>
      </c>
      <c r="AU532">
        <f>IF(AND(IFERROR(VLOOKUP(AL532,Equip!$A:$N,13,FALSE),0)&gt;=5,IFERROR(VLOOKUP(AL532,Equip!$A:$N,13,FALSE),0)&lt;=9),INT(VLOOKUP(AL532,Equip!$A:$N,6,FALSE)*SQRT(AP532)),0)</f>
        <v>0</v>
      </c>
      <c r="AV532">
        <f>IF(AND(IFERROR(VLOOKUP(AM532,Equip!$A:$N,13,FALSE),0)&gt;=5,IFERROR(VLOOKUP(AM532,Equip!$A:$N,13,FALSE),0)&lt;=9),INT(VLOOKUP(AM532,Equip!$A:$N,6,FALSE)*SQRT(AQ532)),0)</f>
        <v>0</v>
      </c>
      <c r="AW532">
        <f t="shared" si="1560"/>
        <v>0</v>
      </c>
      <c r="AX532">
        <f t="shared" si="1561"/>
        <v>745</v>
      </c>
    </row>
    <row r="533" spans="1:50">
      <c r="A533">
        <v>562</v>
      </c>
      <c r="B533" t="s">
        <v>1248</v>
      </c>
      <c r="C533" t="s">
        <v>1248</v>
      </c>
      <c r="D533">
        <v>0</v>
      </c>
      <c r="E533">
        <v>0</v>
      </c>
      <c r="F533">
        <v>0</v>
      </c>
      <c r="G533">
        <v>561</v>
      </c>
      <c r="H533">
        <v>0</v>
      </c>
      <c r="I533">
        <v>0</v>
      </c>
      <c r="J533">
        <v>0</v>
      </c>
      <c r="K533">
        <v>7</v>
      </c>
      <c r="L533">
        <v>10</v>
      </c>
      <c r="M533">
        <v>270</v>
      </c>
      <c r="N533">
        <v>270</v>
      </c>
      <c r="O533">
        <v>130</v>
      </c>
      <c r="P533">
        <v>130</v>
      </c>
      <c r="Q533">
        <v>120</v>
      </c>
      <c r="R533">
        <v>50</v>
      </c>
      <c r="S533">
        <v>100</v>
      </c>
      <c r="T533">
        <v>100</v>
      </c>
      <c r="U533">
        <v>10</v>
      </c>
      <c r="V533">
        <v>70</v>
      </c>
      <c r="W533">
        <v>3</v>
      </c>
      <c r="X533">
        <v>70</v>
      </c>
      <c r="Y533">
        <v>15</v>
      </c>
      <c r="Z533">
        <v>0</v>
      </c>
      <c r="AA533">
        <v>0</v>
      </c>
      <c r="AB533">
        <v>130</v>
      </c>
      <c r="AC533">
        <v>120</v>
      </c>
      <c r="AD533">
        <v>100</v>
      </c>
      <c r="AE533">
        <v>130</v>
      </c>
      <c r="AF533">
        <v>70</v>
      </c>
      <c r="AG533">
        <v>50</v>
      </c>
      <c r="AH533">
        <v>100</v>
      </c>
      <c r="AI533">
        <v>70</v>
      </c>
      <c r="AJ533">
        <v>509</v>
      </c>
      <c r="AK533">
        <v>512</v>
      </c>
      <c r="AL533">
        <v>541</v>
      </c>
      <c r="AM533">
        <v>546</v>
      </c>
      <c r="AN533">
        <v>0</v>
      </c>
      <c r="AO533">
        <v>0</v>
      </c>
      <c r="AP533">
        <v>0</v>
      </c>
      <c r="AQ533">
        <v>180</v>
      </c>
      <c r="AR533">
        <f t="shared" si="1562"/>
        <v>180</v>
      </c>
      <c r="AS533">
        <f>IF(AND(IFERROR(VLOOKUP(AJ533,Equip!$A:$N,13,FALSE),0)&gt;=5,IFERROR(VLOOKUP(AJ533,Equip!$A:$N,13,FALSE),0)&lt;=9),INT(VLOOKUP(AJ533,Equip!$A:$N,6,FALSE)*SQRT(AN533)),0)</f>
        <v>0</v>
      </c>
      <c r="AT533">
        <f>IF(AND(IFERROR(VLOOKUP(AK533,Equip!$A:$N,13,FALSE),0)&gt;=5,IFERROR(VLOOKUP(AK533,Equip!$A:$N,13,FALSE),0)&lt;=9),INT(VLOOKUP(AK533,Equip!$A:$N,6,FALSE)*SQRT(AO533)),0)</f>
        <v>0</v>
      </c>
      <c r="AU533">
        <f>IF(AND(IFERROR(VLOOKUP(AL533,Equip!$A:$N,13,FALSE),0)&gt;=5,IFERROR(VLOOKUP(AL533,Equip!$A:$N,13,FALSE),0)&lt;=9),INT(VLOOKUP(AL533,Equip!$A:$N,6,FALSE)*SQRT(AP533)),0)</f>
        <v>0</v>
      </c>
      <c r="AV533">
        <f>IF(AND(IFERROR(VLOOKUP(AM533,Equip!$A:$N,13,FALSE),0)&gt;=5,IFERROR(VLOOKUP(AM533,Equip!$A:$N,13,FALSE),0)&lt;=9),INT(VLOOKUP(AM533,Equip!$A:$N,6,FALSE)*SQRT(AQ533)),0)</f>
        <v>0</v>
      </c>
      <c r="AW533">
        <f t="shared" si="1560"/>
        <v>0</v>
      </c>
      <c r="AX533">
        <f t="shared" si="1561"/>
        <v>970</v>
      </c>
    </row>
    <row r="534" spans="1:50">
      <c r="A534">
        <v>564</v>
      </c>
      <c r="B534" t="s">
        <v>1249</v>
      </c>
      <c r="C534" t="s">
        <v>1249</v>
      </c>
      <c r="D534">
        <v>0</v>
      </c>
      <c r="E534">
        <v>0</v>
      </c>
      <c r="F534">
        <v>0</v>
      </c>
      <c r="G534">
        <v>501</v>
      </c>
      <c r="H534">
        <v>0</v>
      </c>
      <c r="I534">
        <v>0</v>
      </c>
      <c r="J534">
        <v>0</v>
      </c>
      <c r="K534">
        <v>1</v>
      </c>
      <c r="L534">
        <v>1</v>
      </c>
      <c r="M534">
        <v>39</v>
      </c>
      <c r="N534">
        <v>39</v>
      </c>
      <c r="O534">
        <v>32</v>
      </c>
      <c r="P534">
        <v>24</v>
      </c>
      <c r="Q534">
        <v>60</v>
      </c>
      <c r="R534">
        <v>60</v>
      </c>
      <c r="S534">
        <v>24</v>
      </c>
      <c r="T534">
        <v>82</v>
      </c>
      <c r="U534">
        <v>10</v>
      </c>
      <c r="V534">
        <v>10</v>
      </c>
      <c r="W534">
        <v>1</v>
      </c>
      <c r="X534">
        <v>30</v>
      </c>
      <c r="Y534">
        <v>5</v>
      </c>
      <c r="Z534">
        <v>0</v>
      </c>
      <c r="AA534">
        <v>0</v>
      </c>
      <c r="AB534">
        <v>32</v>
      </c>
      <c r="AC534">
        <v>60</v>
      </c>
      <c r="AD534">
        <v>24</v>
      </c>
      <c r="AE534">
        <v>24</v>
      </c>
      <c r="AF534">
        <v>30</v>
      </c>
      <c r="AG534">
        <v>60</v>
      </c>
      <c r="AH534">
        <v>82</v>
      </c>
      <c r="AI534">
        <v>10</v>
      </c>
      <c r="AJ534">
        <v>531</v>
      </c>
      <c r="AK534">
        <v>545</v>
      </c>
      <c r="AL534">
        <v>542</v>
      </c>
      <c r="AM534">
        <v>-1</v>
      </c>
      <c r="AN534">
        <v>0</v>
      </c>
      <c r="AO534">
        <v>0</v>
      </c>
      <c r="AP534">
        <v>0</v>
      </c>
      <c r="AQ534">
        <v>0</v>
      </c>
      <c r="AR534">
        <f t="shared" si="1562"/>
        <v>0</v>
      </c>
      <c r="AS534">
        <f>IF(AND(IFERROR(VLOOKUP(AJ534,Equip!$A:$N,13,FALSE),0)&gt;=5,IFERROR(VLOOKUP(AJ534,Equip!$A:$N,13,FALSE),0)&lt;=9),INT(VLOOKUP(AJ534,Equip!$A:$N,6,FALSE)*SQRT(AN534)),0)</f>
        <v>0</v>
      </c>
      <c r="AT534">
        <f>IF(AND(IFERROR(VLOOKUP(AK534,Equip!$A:$N,13,FALSE),0)&gt;=5,IFERROR(VLOOKUP(AK534,Equip!$A:$N,13,FALSE),0)&lt;=9),INT(VLOOKUP(AK534,Equip!$A:$N,6,FALSE)*SQRT(AO534)),0)</f>
        <v>0</v>
      </c>
      <c r="AU534">
        <f>IF(AND(IFERROR(VLOOKUP(AL534,Equip!$A:$N,13,FALSE),0)&gt;=5,IFERROR(VLOOKUP(AL534,Equip!$A:$N,13,FALSE),0)&lt;=9),INT(VLOOKUP(AL534,Equip!$A:$N,6,FALSE)*SQRT(AP534)),0)</f>
        <v>0</v>
      </c>
      <c r="AV534">
        <f>IF(AND(IFERROR(VLOOKUP(AM534,Equip!$A:$N,13,FALSE),0)&gt;=5,IFERROR(VLOOKUP(AM534,Equip!$A:$N,13,FALSE),0)&lt;=9),INT(VLOOKUP(AM534,Equip!$A:$N,6,FALSE)*SQRT(AQ534)),0)</f>
        <v>0</v>
      </c>
      <c r="AW534">
        <f t="shared" si="1560"/>
        <v>0</v>
      </c>
      <c r="AX534">
        <f t="shared" si="1561"/>
        <v>331</v>
      </c>
    </row>
    <row r="535" spans="1:50">
      <c r="A535">
        <v>565</v>
      </c>
      <c r="B535" t="s">
        <v>1250</v>
      </c>
      <c r="C535" t="s">
        <v>1250</v>
      </c>
      <c r="D535">
        <v>0</v>
      </c>
      <c r="E535">
        <v>0</v>
      </c>
      <c r="F535">
        <v>0</v>
      </c>
      <c r="G535">
        <v>512</v>
      </c>
      <c r="H535">
        <v>0</v>
      </c>
      <c r="I535">
        <v>0</v>
      </c>
      <c r="J535">
        <v>0</v>
      </c>
      <c r="K535">
        <v>12</v>
      </c>
      <c r="L535">
        <v>4</v>
      </c>
      <c r="M535">
        <v>160</v>
      </c>
      <c r="N535">
        <v>160</v>
      </c>
      <c r="O535">
        <v>40</v>
      </c>
      <c r="P535">
        <v>120</v>
      </c>
      <c r="Q535">
        <v>0</v>
      </c>
      <c r="R535">
        <v>50</v>
      </c>
      <c r="S535">
        <v>90</v>
      </c>
      <c r="T535">
        <v>0</v>
      </c>
      <c r="U535">
        <v>10</v>
      </c>
      <c r="V535">
        <v>60</v>
      </c>
      <c r="W535">
        <v>0</v>
      </c>
      <c r="X535">
        <v>30</v>
      </c>
      <c r="Y535">
        <v>10</v>
      </c>
      <c r="Z535">
        <v>0</v>
      </c>
      <c r="AA535">
        <v>0</v>
      </c>
      <c r="AB535">
        <v>40</v>
      </c>
      <c r="AC535">
        <v>0</v>
      </c>
      <c r="AD535">
        <v>90</v>
      </c>
      <c r="AE535">
        <v>120</v>
      </c>
      <c r="AF535">
        <v>30</v>
      </c>
      <c r="AG535">
        <v>50</v>
      </c>
      <c r="AH535">
        <v>0</v>
      </c>
      <c r="AI535">
        <v>60</v>
      </c>
      <c r="AJ535">
        <v>521</v>
      </c>
      <c r="AK535">
        <v>524</v>
      </c>
      <c r="AL535">
        <v>518</v>
      </c>
      <c r="AM535">
        <v>518</v>
      </c>
      <c r="AN535">
        <v>36</v>
      </c>
      <c r="AO535">
        <v>36</v>
      </c>
      <c r="AP535">
        <v>36</v>
      </c>
      <c r="AQ535">
        <v>36</v>
      </c>
      <c r="AR535">
        <f t="shared" si="1562"/>
        <v>144</v>
      </c>
      <c r="AS535">
        <f>IF(AND(IFERROR(VLOOKUP(AJ535,Equip!$A:$N,13,FALSE),0)&gt;=5,IFERROR(VLOOKUP(AJ535,Equip!$A:$N,13,FALSE),0)&lt;=9),INT(VLOOKUP(AJ535,Equip!$A:$N,6,FALSE)*SQRT(AN535)),0)</f>
        <v>0</v>
      </c>
      <c r="AT535">
        <f>IF(AND(IFERROR(VLOOKUP(AK535,Equip!$A:$N,13,FALSE),0)&gt;=5,IFERROR(VLOOKUP(AK535,Equip!$A:$N,13,FALSE),0)&lt;=9),INT(VLOOKUP(AK535,Equip!$A:$N,6,FALSE)*SQRT(AO535)),0)</f>
        <v>0</v>
      </c>
      <c r="AU535">
        <f>IF(AND(IFERROR(VLOOKUP(AL535,Equip!$A:$N,13,FALSE),0)&gt;=5,IFERROR(VLOOKUP(AL535,Equip!$A:$N,13,FALSE),0)&lt;=9),INT(VLOOKUP(AL535,Equip!$A:$N,6,FALSE)*SQRT(AP535)),0)</f>
        <v>0</v>
      </c>
      <c r="AV535">
        <f>IF(AND(IFERROR(VLOOKUP(AM535,Equip!$A:$N,13,FALSE),0)&gt;=5,IFERROR(VLOOKUP(AM535,Equip!$A:$N,13,FALSE),0)&lt;=9),INT(VLOOKUP(AM535,Equip!$A:$N,6,FALSE)*SQRT(AQ535)),0)</f>
        <v>0</v>
      </c>
      <c r="AW535">
        <f t="shared" si="1560"/>
        <v>0</v>
      </c>
      <c r="AX535">
        <f t="shared" si="1561"/>
        <v>520</v>
      </c>
    </row>
    <row r="536" spans="1:50">
      <c r="A536">
        <v>566</v>
      </c>
      <c r="B536" t="s">
        <v>961</v>
      </c>
      <c r="C536" t="s">
        <v>961</v>
      </c>
      <c r="D536">
        <v>0</v>
      </c>
      <c r="E536">
        <v>0</v>
      </c>
      <c r="F536">
        <v>0</v>
      </c>
      <c r="G536">
        <v>509</v>
      </c>
      <c r="H536">
        <v>0</v>
      </c>
      <c r="I536">
        <v>0</v>
      </c>
      <c r="J536">
        <v>0</v>
      </c>
      <c r="K536">
        <v>3</v>
      </c>
      <c r="L536">
        <v>4</v>
      </c>
      <c r="M536">
        <v>88</v>
      </c>
      <c r="N536">
        <v>88</v>
      </c>
      <c r="O536">
        <v>88</v>
      </c>
      <c r="P536">
        <v>80</v>
      </c>
      <c r="Q536">
        <v>80</v>
      </c>
      <c r="R536">
        <v>57</v>
      </c>
      <c r="S536">
        <v>58</v>
      </c>
      <c r="T536">
        <v>0</v>
      </c>
      <c r="U536">
        <v>10</v>
      </c>
      <c r="V536">
        <v>30</v>
      </c>
      <c r="W536">
        <v>2</v>
      </c>
      <c r="X536">
        <v>40</v>
      </c>
      <c r="Y536">
        <v>10</v>
      </c>
      <c r="Z536">
        <v>0</v>
      </c>
      <c r="AA536">
        <v>0</v>
      </c>
      <c r="AB536">
        <v>88</v>
      </c>
      <c r="AC536">
        <v>80</v>
      </c>
      <c r="AD536">
        <v>58</v>
      </c>
      <c r="AE536">
        <v>80</v>
      </c>
      <c r="AF536">
        <v>40</v>
      </c>
      <c r="AG536">
        <v>57</v>
      </c>
      <c r="AH536">
        <v>0</v>
      </c>
      <c r="AI536">
        <v>30</v>
      </c>
      <c r="AJ536">
        <v>505</v>
      </c>
      <c r="AK536">
        <v>505</v>
      </c>
      <c r="AL536">
        <v>515</v>
      </c>
      <c r="AM536">
        <v>526</v>
      </c>
      <c r="AN536">
        <v>4</v>
      </c>
      <c r="AO536">
        <v>4</v>
      </c>
      <c r="AP536">
        <v>4</v>
      </c>
      <c r="AQ536">
        <v>4</v>
      </c>
      <c r="AR536">
        <f t="shared" si="1562"/>
        <v>16</v>
      </c>
      <c r="AS536">
        <f>IF(AND(IFERROR(VLOOKUP(AJ536,Equip!$A:$N,13,FALSE),0)&gt;=5,IFERROR(VLOOKUP(AJ536,Equip!$A:$N,13,FALSE),0)&lt;=9),INT(VLOOKUP(AJ536,Equip!$A:$N,6,FALSE)*SQRT(AN536)),0)</f>
        <v>0</v>
      </c>
      <c r="AT536">
        <f>IF(AND(IFERROR(VLOOKUP(AK536,Equip!$A:$N,13,FALSE),0)&gt;=5,IFERROR(VLOOKUP(AK536,Equip!$A:$N,13,FALSE),0)&lt;=9),INT(VLOOKUP(AK536,Equip!$A:$N,6,FALSE)*SQRT(AO536)),0)</f>
        <v>0</v>
      </c>
      <c r="AU536">
        <f>IF(AND(IFERROR(VLOOKUP(AL536,Equip!$A:$N,13,FALSE),0)&gt;=5,IFERROR(VLOOKUP(AL536,Equip!$A:$N,13,FALSE),0)&lt;=9),INT(VLOOKUP(AL536,Equip!$A:$N,6,FALSE)*SQRT(AP536)),0)</f>
        <v>0</v>
      </c>
      <c r="AV536">
        <f>IF(AND(IFERROR(VLOOKUP(AM536,Equip!$A:$N,13,FALSE),0)&gt;=5,IFERROR(VLOOKUP(AM536,Equip!$A:$N,13,FALSE),0)&lt;=9),INT(VLOOKUP(AM536,Equip!$A:$N,6,FALSE)*SQRT(AQ536)),0)</f>
        <v>0</v>
      </c>
      <c r="AW536">
        <f t="shared" si="1560"/>
        <v>0</v>
      </c>
      <c r="AX536">
        <f t="shared" si="1561"/>
        <v>481</v>
      </c>
    </row>
    <row r="537" spans="1:50">
      <c r="A537">
        <v>567</v>
      </c>
      <c r="B537" t="s">
        <v>1251</v>
      </c>
      <c r="C537" t="s">
        <v>1251</v>
      </c>
      <c r="D537">
        <v>0</v>
      </c>
      <c r="E537">
        <v>0</v>
      </c>
      <c r="F537">
        <v>0</v>
      </c>
      <c r="G537">
        <v>511</v>
      </c>
      <c r="H537">
        <v>0</v>
      </c>
      <c r="I537">
        <v>0</v>
      </c>
      <c r="J537">
        <v>0</v>
      </c>
      <c r="K537">
        <v>8</v>
      </c>
      <c r="L537">
        <v>10</v>
      </c>
      <c r="M537">
        <v>130</v>
      </c>
      <c r="N537">
        <v>130</v>
      </c>
      <c r="O537">
        <v>110</v>
      </c>
      <c r="P537">
        <v>110</v>
      </c>
      <c r="Q537">
        <v>0</v>
      </c>
      <c r="R537">
        <v>43</v>
      </c>
      <c r="S537">
        <v>88</v>
      </c>
      <c r="T537">
        <v>0</v>
      </c>
      <c r="U537">
        <v>5</v>
      </c>
      <c r="V537">
        <v>36</v>
      </c>
      <c r="W537">
        <v>3</v>
      </c>
      <c r="X537">
        <v>50</v>
      </c>
      <c r="Y537">
        <v>10</v>
      </c>
      <c r="Z537">
        <v>0</v>
      </c>
      <c r="AA537">
        <v>0</v>
      </c>
      <c r="AB537">
        <v>110</v>
      </c>
      <c r="AC537">
        <v>0</v>
      </c>
      <c r="AD537">
        <v>88</v>
      </c>
      <c r="AE537">
        <v>110</v>
      </c>
      <c r="AF537">
        <v>50</v>
      </c>
      <c r="AG537">
        <v>43</v>
      </c>
      <c r="AH537">
        <v>0</v>
      </c>
      <c r="AI537">
        <v>36</v>
      </c>
      <c r="AJ537">
        <v>509</v>
      </c>
      <c r="AK537">
        <v>509</v>
      </c>
      <c r="AL537">
        <v>529</v>
      </c>
      <c r="AM537">
        <v>526</v>
      </c>
      <c r="AN537">
        <v>5</v>
      </c>
      <c r="AO537">
        <v>5</v>
      </c>
      <c r="AP537">
        <v>5</v>
      </c>
      <c r="AQ537">
        <v>5</v>
      </c>
      <c r="AR537">
        <f t="shared" si="1562"/>
        <v>20</v>
      </c>
      <c r="AS537">
        <f>IF(AND(IFERROR(VLOOKUP(AJ537,Equip!$A:$N,13,FALSE),0)&gt;=5,IFERROR(VLOOKUP(AJ537,Equip!$A:$N,13,FALSE),0)&lt;=9),INT(VLOOKUP(AJ537,Equip!$A:$N,6,FALSE)*SQRT(AN537)),0)</f>
        <v>0</v>
      </c>
      <c r="AT537">
        <f>IF(AND(IFERROR(VLOOKUP(AK537,Equip!$A:$N,13,FALSE),0)&gt;=5,IFERROR(VLOOKUP(AK537,Equip!$A:$N,13,FALSE),0)&lt;=9),INT(VLOOKUP(AK537,Equip!$A:$N,6,FALSE)*SQRT(AO537)),0)</f>
        <v>0</v>
      </c>
      <c r="AU537">
        <f>IF(AND(IFERROR(VLOOKUP(AL537,Equip!$A:$N,13,FALSE),0)&gt;=5,IFERROR(VLOOKUP(AL537,Equip!$A:$N,13,FALSE),0)&lt;=9),INT(VLOOKUP(AL537,Equip!$A:$N,6,FALSE)*SQRT(AP537)),0)</f>
        <v>0</v>
      </c>
      <c r="AV537">
        <f>IF(AND(IFERROR(VLOOKUP(AM537,Equip!$A:$N,13,FALSE),0)&gt;=5,IFERROR(VLOOKUP(AM537,Equip!$A:$N,13,FALSE),0)&lt;=9),INT(VLOOKUP(AM537,Equip!$A:$N,6,FALSE)*SQRT(AQ537)),0)</f>
        <v>0</v>
      </c>
      <c r="AW537">
        <f t="shared" si="1560"/>
        <v>0</v>
      </c>
      <c r="AX537">
        <f t="shared" si="1561"/>
        <v>517</v>
      </c>
    </row>
    <row r="538" spans="1:50">
      <c r="A538">
        <v>570</v>
      </c>
      <c r="B538" t="s">
        <v>962</v>
      </c>
      <c r="C538" t="s">
        <v>962</v>
      </c>
      <c r="D538">
        <v>0</v>
      </c>
      <c r="E538">
        <v>0</v>
      </c>
      <c r="F538">
        <v>0</v>
      </c>
      <c r="G538">
        <v>570</v>
      </c>
      <c r="H538">
        <v>0</v>
      </c>
      <c r="I538">
        <v>0</v>
      </c>
      <c r="J538">
        <v>0</v>
      </c>
      <c r="K538">
        <v>14</v>
      </c>
      <c r="L538">
        <v>1</v>
      </c>
      <c r="M538">
        <v>33</v>
      </c>
      <c r="N538">
        <v>33</v>
      </c>
      <c r="O538">
        <v>24</v>
      </c>
      <c r="P538">
        <v>15</v>
      </c>
      <c r="Q538">
        <v>70</v>
      </c>
      <c r="R538">
        <v>5</v>
      </c>
      <c r="S538">
        <v>0</v>
      </c>
      <c r="T538">
        <v>0</v>
      </c>
      <c r="U538">
        <v>5</v>
      </c>
      <c r="V538">
        <v>10</v>
      </c>
      <c r="W538">
        <v>1</v>
      </c>
      <c r="X538">
        <v>15</v>
      </c>
      <c r="Y538">
        <v>15</v>
      </c>
      <c r="Z538">
        <v>0</v>
      </c>
      <c r="AA538">
        <v>0</v>
      </c>
      <c r="AB538">
        <v>24</v>
      </c>
      <c r="AC538">
        <v>70</v>
      </c>
      <c r="AD538">
        <v>0</v>
      </c>
      <c r="AE538">
        <v>15</v>
      </c>
      <c r="AF538">
        <v>15</v>
      </c>
      <c r="AG538">
        <v>5</v>
      </c>
      <c r="AH538">
        <v>0</v>
      </c>
      <c r="AI538">
        <v>10</v>
      </c>
      <c r="AJ538">
        <v>514</v>
      </c>
      <c r="AK538">
        <v>503</v>
      </c>
      <c r="AL538">
        <v>-1</v>
      </c>
      <c r="AM538">
        <v>-1</v>
      </c>
      <c r="AN538">
        <v>0</v>
      </c>
      <c r="AO538">
        <v>0</v>
      </c>
      <c r="AP538">
        <v>0</v>
      </c>
      <c r="AQ538">
        <v>0</v>
      </c>
      <c r="AR538">
        <f t="shared" si="1562"/>
        <v>0</v>
      </c>
      <c r="AS538">
        <f>IF(AND(IFERROR(VLOOKUP(AJ538,Equip!$A:$N,13,FALSE),0)&gt;=5,IFERROR(VLOOKUP(AJ538,Equip!$A:$N,13,FALSE),0)&lt;=9),INT(VLOOKUP(AJ538,Equip!$A:$N,6,FALSE)*SQRT(AN538)),0)</f>
        <v>0</v>
      </c>
      <c r="AT538">
        <f>IF(AND(IFERROR(VLOOKUP(AK538,Equip!$A:$N,13,FALSE),0)&gt;=5,IFERROR(VLOOKUP(AK538,Equip!$A:$N,13,FALSE),0)&lt;=9),INT(VLOOKUP(AK538,Equip!$A:$N,6,FALSE)*SQRT(AO538)),0)</f>
        <v>0</v>
      </c>
      <c r="AU538">
        <f>IF(AND(IFERROR(VLOOKUP(AL538,Equip!$A:$N,13,FALSE),0)&gt;=5,IFERROR(VLOOKUP(AL538,Equip!$A:$N,13,FALSE),0)&lt;=9),INT(VLOOKUP(AL538,Equip!$A:$N,6,FALSE)*SQRT(AP538)),0)</f>
        <v>0</v>
      </c>
      <c r="AV538">
        <f>IF(AND(IFERROR(VLOOKUP(AM538,Equip!$A:$N,13,FALSE),0)&gt;=5,IFERROR(VLOOKUP(AM538,Equip!$A:$N,13,FALSE),0)&lt;=9),INT(VLOOKUP(AM538,Equip!$A:$N,6,FALSE)*SQRT(AQ538)),0)</f>
        <v>0</v>
      </c>
      <c r="AW538">
        <f t="shared" si="1560"/>
        <v>0</v>
      </c>
      <c r="AX538">
        <f t="shared" si="1561"/>
        <v>157</v>
      </c>
    </row>
    <row r="539" spans="1:50">
      <c r="A539">
        <v>571</v>
      </c>
      <c r="B539" t="s">
        <v>1252</v>
      </c>
      <c r="C539" t="s">
        <v>1252</v>
      </c>
      <c r="D539">
        <v>0</v>
      </c>
      <c r="E539">
        <v>0</v>
      </c>
      <c r="F539">
        <v>0</v>
      </c>
      <c r="G539">
        <v>570</v>
      </c>
      <c r="H539">
        <v>0</v>
      </c>
      <c r="I539">
        <v>0</v>
      </c>
      <c r="J539">
        <v>0</v>
      </c>
      <c r="K539">
        <v>14</v>
      </c>
      <c r="L539">
        <v>1</v>
      </c>
      <c r="M539">
        <v>45</v>
      </c>
      <c r="N539">
        <v>45</v>
      </c>
      <c r="O539">
        <v>30</v>
      </c>
      <c r="P539">
        <v>30</v>
      </c>
      <c r="Q539">
        <v>100</v>
      </c>
      <c r="R539">
        <v>10</v>
      </c>
      <c r="S539">
        <v>0</v>
      </c>
      <c r="T539">
        <v>0</v>
      </c>
      <c r="U539">
        <v>5</v>
      </c>
      <c r="V539">
        <v>15</v>
      </c>
      <c r="W539">
        <v>1</v>
      </c>
      <c r="X539">
        <v>30</v>
      </c>
      <c r="Y539">
        <v>20</v>
      </c>
      <c r="Z539">
        <v>0</v>
      </c>
      <c r="AA539">
        <v>0</v>
      </c>
      <c r="AB539">
        <v>30</v>
      </c>
      <c r="AC539">
        <v>100</v>
      </c>
      <c r="AD539">
        <v>0</v>
      </c>
      <c r="AE539">
        <v>30</v>
      </c>
      <c r="AF539">
        <v>30</v>
      </c>
      <c r="AG539">
        <v>10</v>
      </c>
      <c r="AH539">
        <v>0</v>
      </c>
      <c r="AI539">
        <v>15</v>
      </c>
      <c r="AJ539">
        <v>515</v>
      </c>
      <c r="AK539">
        <v>515</v>
      </c>
      <c r="AL539">
        <v>503</v>
      </c>
      <c r="AM539">
        <v>-1</v>
      </c>
      <c r="AN539">
        <v>0</v>
      </c>
      <c r="AO539">
        <v>0</v>
      </c>
      <c r="AP539">
        <v>0</v>
      </c>
      <c r="AQ539">
        <v>0</v>
      </c>
      <c r="AR539">
        <f t="shared" si="1562"/>
        <v>0</v>
      </c>
      <c r="AS539">
        <f>IF(AND(IFERROR(VLOOKUP(AJ539,Equip!$A:$N,13,FALSE),0)&gt;=5,IFERROR(VLOOKUP(AJ539,Equip!$A:$N,13,FALSE),0)&lt;=9),INT(VLOOKUP(AJ539,Equip!$A:$N,6,FALSE)*SQRT(AN539)),0)</f>
        <v>0</v>
      </c>
      <c r="AT539">
        <f>IF(AND(IFERROR(VLOOKUP(AK539,Equip!$A:$N,13,FALSE),0)&gt;=5,IFERROR(VLOOKUP(AK539,Equip!$A:$N,13,FALSE),0)&lt;=9),INT(VLOOKUP(AK539,Equip!$A:$N,6,FALSE)*SQRT(AO539)),0)</f>
        <v>0</v>
      </c>
      <c r="AU539">
        <f>IF(AND(IFERROR(VLOOKUP(AL539,Equip!$A:$N,13,FALSE),0)&gt;=5,IFERROR(VLOOKUP(AL539,Equip!$A:$N,13,FALSE),0)&lt;=9),INT(VLOOKUP(AL539,Equip!$A:$N,6,FALSE)*SQRT(AP539)),0)</f>
        <v>0</v>
      </c>
      <c r="AV539">
        <f>IF(AND(IFERROR(VLOOKUP(AM539,Equip!$A:$N,13,FALSE),0)&gt;=5,IFERROR(VLOOKUP(AM539,Equip!$A:$N,13,FALSE),0)&lt;=9),INT(VLOOKUP(AM539,Equip!$A:$N,6,FALSE)*SQRT(AQ539)),0)</f>
        <v>0</v>
      </c>
      <c r="AW539">
        <f t="shared" si="1560"/>
        <v>0</v>
      </c>
      <c r="AX539">
        <f t="shared" si="1561"/>
        <v>230</v>
      </c>
    </row>
    <row r="540" spans="1:50">
      <c r="A540">
        <v>572</v>
      </c>
      <c r="B540" t="s">
        <v>1253</v>
      </c>
      <c r="C540" t="s">
        <v>1253</v>
      </c>
      <c r="D540">
        <v>0</v>
      </c>
      <c r="E540">
        <v>0</v>
      </c>
      <c r="F540">
        <v>0</v>
      </c>
      <c r="G540">
        <v>570</v>
      </c>
      <c r="H540">
        <v>0</v>
      </c>
      <c r="I540">
        <v>0</v>
      </c>
      <c r="J540">
        <v>0</v>
      </c>
      <c r="K540">
        <v>14</v>
      </c>
      <c r="L540">
        <v>1</v>
      </c>
      <c r="M540">
        <v>48</v>
      </c>
      <c r="N540">
        <v>48</v>
      </c>
      <c r="O540">
        <v>30</v>
      </c>
      <c r="P540">
        <v>42</v>
      </c>
      <c r="Q540">
        <v>135</v>
      </c>
      <c r="R540">
        <v>15</v>
      </c>
      <c r="S540">
        <v>0</v>
      </c>
      <c r="T540">
        <v>0</v>
      </c>
      <c r="U540">
        <v>5</v>
      </c>
      <c r="V540">
        <v>18</v>
      </c>
      <c r="W540">
        <v>1</v>
      </c>
      <c r="X540">
        <v>45</v>
      </c>
      <c r="Y540">
        <v>25</v>
      </c>
      <c r="Z540">
        <v>0</v>
      </c>
      <c r="AA540">
        <v>0</v>
      </c>
      <c r="AB540">
        <v>30</v>
      </c>
      <c r="AC540">
        <v>135</v>
      </c>
      <c r="AD540">
        <v>0</v>
      </c>
      <c r="AE540">
        <v>42</v>
      </c>
      <c r="AF540">
        <v>45</v>
      </c>
      <c r="AG540">
        <v>15</v>
      </c>
      <c r="AH540">
        <v>0</v>
      </c>
      <c r="AI540">
        <v>18</v>
      </c>
      <c r="AJ540">
        <v>515</v>
      </c>
      <c r="AK540">
        <v>515</v>
      </c>
      <c r="AL540">
        <v>515</v>
      </c>
      <c r="AM540">
        <v>-1</v>
      </c>
      <c r="AN540">
        <v>0</v>
      </c>
      <c r="AO540">
        <v>0</v>
      </c>
      <c r="AP540">
        <v>0</v>
      </c>
      <c r="AQ540">
        <v>0</v>
      </c>
      <c r="AR540">
        <f t="shared" si="1562"/>
        <v>0</v>
      </c>
      <c r="AS540">
        <f>IF(AND(IFERROR(VLOOKUP(AJ540,Equip!$A:$N,13,FALSE),0)&gt;=5,IFERROR(VLOOKUP(AJ540,Equip!$A:$N,13,FALSE),0)&lt;=9),INT(VLOOKUP(AJ540,Equip!$A:$N,6,FALSE)*SQRT(AN540)),0)</f>
        <v>0</v>
      </c>
      <c r="AT540">
        <f>IF(AND(IFERROR(VLOOKUP(AK540,Equip!$A:$N,13,FALSE),0)&gt;=5,IFERROR(VLOOKUP(AK540,Equip!$A:$N,13,FALSE),0)&lt;=9),INT(VLOOKUP(AK540,Equip!$A:$N,6,FALSE)*SQRT(AO540)),0)</f>
        <v>0</v>
      </c>
      <c r="AU540">
        <f>IF(AND(IFERROR(VLOOKUP(AL540,Equip!$A:$N,13,FALSE),0)&gt;=5,IFERROR(VLOOKUP(AL540,Equip!$A:$N,13,FALSE),0)&lt;=9),INT(VLOOKUP(AL540,Equip!$A:$N,6,FALSE)*SQRT(AP540)),0)</f>
        <v>0</v>
      </c>
      <c r="AV540">
        <f>IF(AND(IFERROR(VLOOKUP(AM540,Equip!$A:$N,13,FALSE),0)&gt;=5,IFERROR(VLOOKUP(AM540,Equip!$A:$N,13,FALSE),0)&lt;=9),INT(VLOOKUP(AM540,Equip!$A:$N,6,FALSE)*SQRT(AQ540)),0)</f>
        <v>0</v>
      </c>
      <c r="AW540">
        <f t="shared" si="1560"/>
        <v>0</v>
      </c>
      <c r="AX540">
        <f t="shared" si="1561"/>
        <v>288</v>
      </c>
    </row>
    <row r="541" spans="1:50">
      <c r="A541">
        <v>573</v>
      </c>
      <c r="B541" t="s">
        <v>963</v>
      </c>
      <c r="C541" t="s">
        <v>963</v>
      </c>
      <c r="D541">
        <v>0</v>
      </c>
      <c r="E541">
        <v>0</v>
      </c>
      <c r="F541">
        <v>0</v>
      </c>
      <c r="G541">
        <v>573</v>
      </c>
      <c r="H541">
        <v>0</v>
      </c>
      <c r="I541">
        <v>0</v>
      </c>
      <c r="J541">
        <v>0</v>
      </c>
      <c r="K541">
        <v>7</v>
      </c>
      <c r="L541">
        <v>0</v>
      </c>
      <c r="M541">
        <v>380</v>
      </c>
      <c r="N541">
        <v>380</v>
      </c>
      <c r="O541">
        <v>100</v>
      </c>
      <c r="P541">
        <v>135</v>
      </c>
      <c r="Q541">
        <v>0</v>
      </c>
      <c r="R541">
        <v>1</v>
      </c>
      <c r="S541">
        <v>150</v>
      </c>
      <c r="T541">
        <v>0</v>
      </c>
      <c r="U541">
        <v>0</v>
      </c>
      <c r="V541">
        <v>100</v>
      </c>
      <c r="W541">
        <v>2</v>
      </c>
      <c r="X541">
        <v>20</v>
      </c>
      <c r="Y541">
        <v>15</v>
      </c>
      <c r="Z541">
        <v>0</v>
      </c>
      <c r="AA541">
        <v>0</v>
      </c>
      <c r="AB541">
        <v>100</v>
      </c>
      <c r="AC541">
        <v>0</v>
      </c>
      <c r="AD541">
        <v>150</v>
      </c>
      <c r="AE541">
        <v>135</v>
      </c>
      <c r="AF541">
        <v>20</v>
      </c>
      <c r="AG541">
        <v>1</v>
      </c>
      <c r="AH541">
        <v>0</v>
      </c>
      <c r="AI541">
        <v>100</v>
      </c>
      <c r="AJ541">
        <v>520</v>
      </c>
      <c r="AK541">
        <v>524</v>
      </c>
      <c r="AL541">
        <v>517</v>
      </c>
      <c r="AM541">
        <v>517</v>
      </c>
      <c r="AN541">
        <v>80</v>
      </c>
      <c r="AO541">
        <v>80</v>
      </c>
      <c r="AP541">
        <v>80</v>
      </c>
      <c r="AQ541">
        <v>80</v>
      </c>
      <c r="AR541">
        <f t="shared" si="1562"/>
        <v>320</v>
      </c>
      <c r="AS541">
        <f>IF(AND(IFERROR(VLOOKUP(AJ541,Equip!$A:$N,13,FALSE),0)&gt;=5,IFERROR(VLOOKUP(AJ541,Equip!$A:$N,13,FALSE),0)&lt;=9),INT(VLOOKUP(AJ541,Equip!$A:$N,6,FALSE)*SQRT(AN541)),0)</f>
        <v>0</v>
      </c>
      <c r="AT541">
        <f>IF(AND(IFERROR(VLOOKUP(AK541,Equip!$A:$N,13,FALSE),0)&gt;=5,IFERROR(VLOOKUP(AK541,Equip!$A:$N,13,FALSE),0)&lt;=9),INT(VLOOKUP(AK541,Equip!$A:$N,6,FALSE)*SQRT(AO541)),0)</f>
        <v>0</v>
      </c>
      <c r="AU541">
        <f>IF(AND(IFERROR(VLOOKUP(AL541,Equip!$A:$N,13,FALSE),0)&gt;=5,IFERROR(VLOOKUP(AL541,Equip!$A:$N,13,FALSE),0)&lt;=9),INT(VLOOKUP(AL541,Equip!$A:$N,6,FALSE)*SQRT(AP541)),0)</f>
        <v>0</v>
      </c>
      <c r="AV541">
        <f>IF(AND(IFERROR(VLOOKUP(AM541,Equip!$A:$N,13,FALSE),0)&gt;=5,IFERROR(VLOOKUP(AM541,Equip!$A:$N,13,FALSE),0)&lt;=9),INT(VLOOKUP(AM541,Equip!$A:$N,6,FALSE)*SQRT(AQ541)),0)</f>
        <v>0</v>
      </c>
      <c r="AW541">
        <f t="shared" si="1560"/>
        <v>0</v>
      </c>
      <c r="AX541">
        <f t="shared" si="1561"/>
        <v>866</v>
      </c>
    </row>
    <row r="542" spans="1:50">
      <c r="A542">
        <v>574</v>
      </c>
      <c r="B542" t="s">
        <v>964</v>
      </c>
      <c r="C542" t="s">
        <v>964</v>
      </c>
      <c r="D542">
        <v>0</v>
      </c>
      <c r="E542">
        <v>0</v>
      </c>
      <c r="F542">
        <v>0</v>
      </c>
      <c r="G542">
        <v>574</v>
      </c>
      <c r="H542">
        <v>0</v>
      </c>
      <c r="I542">
        <v>0</v>
      </c>
      <c r="J542">
        <v>0</v>
      </c>
      <c r="K542">
        <v>7</v>
      </c>
      <c r="L542">
        <v>0</v>
      </c>
      <c r="M542">
        <v>450</v>
      </c>
      <c r="N542">
        <v>450</v>
      </c>
      <c r="O542">
        <v>150</v>
      </c>
      <c r="P542">
        <v>150</v>
      </c>
      <c r="Q542">
        <v>0</v>
      </c>
      <c r="R542">
        <v>10</v>
      </c>
      <c r="S542">
        <v>100</v>
      </c>
      <c r="T542">
        <v>0</v>
      </c>
      <c r="U542">
        <v>0</v>
      </c>
      <c r="V542">
        <v>80</v>
      </c>
      <c r="W542">
        <v>2</v>
      </c>
      <c r="X542">
        <v>50</v>
      </c>
      <c r="Y542">
        <v>15</v>
      </c>
      <c r="Z542">
        <v>0</v>
      </c>
      <c r="AA542">
        <v>0</v>
      </c>
      <c r="AB542">
        <v>150</v>
      </c>
      <c r="AC542">
        <v>0</v>
      </c>
      <c r="AD542">
        <v>100</v>
      </c>
      <c r="AE542">
        <v>150</v>
      </c>
      <c r="AF542">
        <v>50</v>
      </c>
      <c r="AG542">
        <v>10</v>
      </c>
      <c r="AH542">
        <v>0</v>
      </c>
      <c r="AI542">
        <v>80</v>
      </c>
      <c r="AJ542">
        <v>521</v>
      </c>
      <c r="AK542">
        <v>524</v>
      </c>
      <c r="AL542">
        <v>518</v>
      </c>
      <c r="AM542">
        <v>518</v>
      </c>
      <c r="AN542">
        <v>90</v>
      </c>
      <c r="AO542">
        <v>90</v>
      </c>
      <c r="AP542">
        <v>90</v>
      </c>
      <c r="AQ542">
        <v>90</v>
      </c>
      <c r="AR542">
        <f t="shared" si="1562"/>
        <v>360</v>
      </c>
      <c r="AS542">
        <f>IF(AND(IFERROR(VLOOKUP(AJ542,Equip!$A:$N,13,FALSE),0)&gt;=5,IFERROR(VLOOKUP(AJ542,Equip!$A:$N,13,FALSE),0)&lt;=9),INT(VLOOKUP(AJ542,Equip!$A:$N,6,FALSE)*SQRT(AN542)),0)</f>
        <v>0</v>
      </c>
      <c r="AT542">
        <f>IF(AND(IFERROR(VLOOKUP(AK542,Equip!$A:$N,13,FALSE),0)&gt;=5,IFERROR(VLOOKUP(AK542,Equip!$A:$N,13,FALSE),0)&lt;=9),INT(VLOOKUP(AK542,Equip!$A:$N,6,FALSE)*SQRT(AO542)),0)</f>
        <v>0</v>
      </c>
      <c r="AU542">
        <f>IF(AND(IFERROR(VLOOKUP(AL542,Equip!$A:$N,13,FALSE),0)&gt;=5,IFERROR(VLOOKUP(AL542,Equip!$A:$N,13,FALSE),0)&lt;=9),INT(VLOOKUP(AL542,Equip!$A:$N,6,FALSE)*SQRT(AP542)),0)</f>
        <v>0</v>
      </c>
      <c r="AV542">
        <f>IF(AND(IFERROR(VLOOKUP(AM542,Equip!$A:$N,13,FALSE),0)&gt;=5,IFERROR(VLOOKUP(AM542,Equip!$A:$N,13,FALSE),0)&lt;=9),INT(VLOOKUP(AM542,Equip!$A:$N,6,FALSE)*SQRT(AQ542)),0)</f>
        <v>0</v>
      </c>
      <c r="AW542">
        <f t="shared" si="1560"/>
        <v>0</v>
      </c>
      <c r="AX542">
        <f t="shared" si="1561"/>
        <v>940</v>
      </c>
    </row>
    <row r="543" spans="1:50">
      <c r="A543">
        <v>575</v>
      </c>
      <c r="B543" t="s">
        <v>965</v>
      </c>
      <c r="C543" t="s">
        <v>965</v>
      </c>
      <c r="D543">
        <v>0</v>
      </c>
      <c r="E543">
        <v>0</v>
      </c>
      <c r="F543">
        <v>0</v>
      </c>
      <c r="G543">
        <v>501</v>
      </c>
      <c r="H543">
        <v>0</v>
      </c>
      <c r="I543">
        <v>0</v>
      </c>
      <c r="J543">
        <v>0</v>
      </c>
      <c r="K543">
        <v>1</v>
      </c>
      <c r="L543">
        <v>1</v>
      </c>
      <c r="M543">
        <v>35</v>
      </c>
      <c r="N543">
        <v>35</v>
      </c>
      <c r="O543">
        <v>38</v>
      </c>
      <c r="P543">
        <v>22</v>
      </c>
      <c r="Q543">
        <v>60</v>
      </c>
      <c r="R543">
        <v>48</v>
      </c>
      <c r="S543">
        <v>30</v>
      </c>
      <c r="T543">
        <v>72</v>
      </c>
      <c r="U543">
        <v>10</v>
      </c>
      <c r="V543">
        <v>20</v>
      </c>
      <c r="W543">
        <v>1</v>
      </c>
      <c r="X543">
        <v>30</v>
      </c>
      <c r="Y543">
        <v>5</v>
      </c>
      <c r="Z543">
        <v>0</v>
      </c>
      <c r="AA543">
        <v>0</v>
      </c>
      <c r="AB543">
        <v>38</v>
      </c>
      <c r="AC543">
        <v>60</v>
      </c>
      <c r="AD543">
        <v>30</v>
      </c>
      <c r="AE543">
        <v>22</v>
      </c>
      <c r="AF543">
        <v>30</v>
      </c>
      <c r="AG543">
        <v>48</v>
      </c>
      <c r="AH543">
        <v>72</v>
      </c>
      <c r="AI543">
        <v>20</v>
      </c>
      <c r="AJ543">
        <v>502</v>
      </c>
      <c r="AK543">
        <v>545</v>
      </c>
      <c r="AL543">
        <v>542</v>
      </c>
      <c r="AM543">
        <v>-1</v>
      </c>
      <c r="AN543">
        <v>0</v>
      </c>
      <c r="AO543">
        <v>0</v>
      </c>
      <c r="AP543">
        <v>0</v>
      </c>
      <c r="AQ543">
        <v>0</v>
      </c>
      <c r="AR543">
        <f t="shared" si="1562"/>
        <v>0</v>
      </c>
      <c r="AS543">
        <f>IF(AND(IFERROR(VLOOKUP(AJ543,Equip!$A:$N,13,FALSE),0)&gt;=5,IFERROR(VLOOKUP(AJ543,Equip!$A:$N,13,FALSE),0)&lt;=9),INT(VLOOKUP(AJ543,Equip!$A:$N,6,FALSE)*SQRT(AN543)),0)</f>
        <v>0</v>
      </c>
      <c r="AT543">
        <f>IF(AND(IFERROR(VLOOKUP(AK543,Equip!$A:$N,13,FALSE),0)&gt;=5,IFERROR(VLOOKUP(AK543,Equip!$A:$N,13,FALSE),0)&lt;=9),INT(VLOOKUP(AK543,Equip!$A:$N,6,FALSE)*SQRT(AO543)),0)</f>
        <v>0</v>
      </c>
      <c r="AU543">
        <f>IF(AND(IFERROR(VLOOKUP(AL543,Equip!$A:$N,13,FALSE),0)&gt;=5,IFERROR(VLOOKUP(AL543,Equip!$A:$N,13,FALSE),0)&lt;=9),INT(VLOOKUP(AL543,Equip!$A:$N,6,FALSE)*SQRT(AP543)),0)</f>
        <v>0</v>
      </c>
      <c r="AV543">
        <f>IF(AND(IFERROR(VLOOKUP(AM543,Equip!$A:$N,13,FALSE),0)&gt;=5,IFERROR(VLOOKUP(AM543,Equip!$A:$N,13,FALSE),0)&lt;=9),INT(VLOOKUP(AM543,Equip!$A:$N,6,FALSE)*SQRT(AQ543)),0)</f>
        <v>0</v>
      </c>
      <c r="AW543">
        <f t="shared" si="1560"/>
        <v>0</v>
      </c>
      <c r="AX543">
        <f t="shared" si="1561"/>
        <v>325</v>
      </c>
    </row>
    <row r="544" spans="1:50">
      <c r="A544">
        <v>576</v>
      </c>
      <c r="B544" t="s">
        <v>966</v>
      </c>
      <c r="C544" t="s">
        <v>966</v>
      </c>
      <c r="D544">
        <v>0</v>
      </c>
      <c r="E544">
        <v>0</v>
      </c>
      <c r="F544">
        <v>0</v>
      </c>
      <c r="G544">
        <v>502</v>
      </c>
      <c r="H544">
        <v>0</v>
      </c>
      <c r="I544">
        <v>0</v>
      </c>
      <c r="J544">
        <v>0</v>
      </c>
      <c r="K544">
        <v>1</v>
      </c>
      <c r="L544">
        <v>1</v>
      </c>
      <c r="M544">
        <v>37</v>
      </c>
      <c r="N544">
        <v>37</v>
      </c>
      <c r="O544">
        <v>38</v>
      </c>
      <c r="P544">
        <v>26</v>
      </c>
      <c r="Q544">
        <v>66</v>
      </c>
      <c r="R544">
        <v>52</v>
      </c>
      <c r="S544">
        <v>32</v>
      </c>
      <c r="T544">
        <v>80</v>
      </c>
      <c r="U544">
        <v>10</v>
      </c>
      <c r="V544">
        <v>20</v>
      </c>
      <c r="W544">
        <v>1</v>
      </c>
      <c r="X544">
        <v>36</v>
      </c>
      <c r="Y544">
        <v>5</v>
      </c>
      <c r="Z544">
        <v>0</v>
      </c>
      <c r="AA544">
        <v>0</v>
      </c>
      <c r="AB544">
        <v>38</v>
      </c>
      <c r="AC544">
        <v>66</v>
      </c>
      <c r="AD544">
        <v>32</v>
      </c>
      <c r="AE544">
        <v>26</v>
      </c>
      <c r="AF544">
        <v>36</v>
      </c>
      <c r="AG544">
        <v>52</v>
      </c>
      <c r="AH544">
        <v>80</v>
      </c>
      <c r="AI544">
        <v>20</v>
      </c>
      <c r="AJ544">
        <v>502</v>
      </c>
      <c r="AK544">
        <v>545</v>
      </c>
      <c r="AL544">
        <v>542</v>
      </c>
      <c r="AM544">
        <v>-1</v>
      </c>
      <c r="AN544">
        <v>0</v>
      </c>
      <c r="AO544">
        <v>0</v>
      </c>
      <c r="AP544">
        <v>0</v>
      </c>
      <c r="AQ544">
        <v>0</v>
      </c>
      <c r="AR544">
        <f t="shared" si="1562"/>
        <v>0</v>
      </c>
      <c r="AS544">
        <f>IF(AND(IFERROR(VLOOKUP(AJ544,Equip!$A:$N,13,FALSE),0)&gt;=5,IFERROR(VLOOKUP(AJ544,Equip!$A:$N,13,FALSE),0)&lt;=9),INT(VLOOKUP(AJ544,Equip!$A:$N,6,FALSE)*SQRT(AN544)),0)</f>
        <v>0</v>
      </c>
      <c r="AT544">
        <f>IF(AND(IFERROR(VLOOKUP(AK544,Equip!$A:$N,13,FALSE),0)&gt;=5,IFERROR(VLOOKUP(AK544,Equip!$A:$N,13,FALSE),0)&lt;=9),INT(VLOOKUP(AK544,Equip!$A:$N,6,FALSE)*SQRT(AO544)),0)</f>
        <v>0</v>
      </c>
      <c r="AU544">
        <f>IF(AND(IFERROR(VLOOKUP(AL544,Equip!$A:$N,13,FALSE),0)&gt;=5,IFERROR(VLOOKUP(AL544,Equip!$A:$N,13,FALSE),0)&lt;=9),INT(VLOOKUP(AL544,Equip!$A:$N,6,FALSE)*SQRT(AP544)),0)</f>
        <v>0</v>
      </c>
      <c r="AV544">
        <f>IF(AND(IFERROR(VLOOKUP(AM544,Equip!$A:$N,13,FALSE),0)&gt;=5,IFERROR(VLOOKUP(AM544,Equip!$A:$N,13,FALSE),0)&lt;=9),INT(VLOOKUP(AM544,Equip!$A:$N,6,FALSE)*SQRT(AQ544)),0)</f>
        <v>0</v>
      </c>
      <c r="AW544">
        <f t="shared" si="1560"/>
        <v>0</v>
      </c>
      <c r="AX544">
        <f t="shared" si="1561"/>
        <v>351</v>
      </c>
    </row>
    <row r="545" spans="1:50">
      <c r="A545">
        <v>577</v>
      </c>
      <c r="B545" t="s">
        <v>967</v>
      </c>
      <c r="C545" t="s">
        <v>967</v>
      </c>
      <c r="D545">
        <v>0</v>
      </c>
      <c r="E545">
        <v>0</v>
      </c>
      <c r="F545">
        <v>0</v>
      </c>
      <c r="G545">
        <v>503</v>
      </c>
      <c r="H545">
        <v>0</v>
      </c>
      <c r="I545">
        <v>0</v>
      </c>
      <c r="J545">
        <v>0</v>
      </c>
      <c r="K545">
        <v>1</v>
      </c>
      <c r="L545">
        <v>1</v>
      </c>
      <c r="M545">
        <v>38</v>
      </c>
      <c r="N545">
        <v>38</v>
      </c>
      <c r="O545">
        <v>44</v>
      </c>
      <c r="P545">
        <v>29</v>
      </c>
      <c r="Q545">
        <v>72</v>
      </c>
      <c r="R545">
        <v>56</v>
      </c>
      <c r="S545">
        <v>36</v>
      </c>
      <c r="T545">
        <v>80</v>
      </c>
      <c r="U545">
        <v>10</v>
      </c>
      <c r="V545">
        <v>24</v>
      </c>
      <c r="W545">
        <v>1</v>
      </c>
      <c r="X545">
        <v>42</v>
      </c>
      <c r="Y545">
        <v>5</v>
      </c>
      <c r="Z545">
        <v>0</v>
      </c>
      <c r="AA545">
        <v>0</v>
      </c>
      <c r="AB545">
        <v>44</v>
      </c>
      <c r="AC545">
        <v>72</v>
      </c>
      <c r="AD545">
        <v>36</v>
      </c>
      <c r="AE545">
        <v>29</v>
      </c>
      <c r="AF545">
        <v>42</v>
      </c>
      <c r="AG545">
        <v>56</v>
      </c>
      <c r="AH545">
        <v>80</v>
      </c>
      <c r="AI545">
        <v>24</v>
      </c>
      <c r="AJ545">
        <v>502</v>
      </c>
      <c r="AK545">
        <v>515</v>
      </c>
      <c r="AL545">
        <v>542</v>
      </c>
      <c r="AM545">
        <v>-1</v>
      </c>
      <c r="AN545">
        <v>0</v>
      </c>
      <c r="AO545">
        <v>0</v>
      </c>
      <c r="AP545">
        <v>0</v>
      </c>
      <c r="AQ545">
        <v>0</v>
      </c>
      <c r="AR545">
        <f t="shared" si="1562"/>
        <v>0</v>
      </c>
      <c r="AS545">
        <f>IF(AND(IFERROR(VLOOKUP(AJ545,Equip!$A:$N,13,FALSE),0)&gt;=5,IFERROR(VLOOKUP(AJ545,Equip!$A:$N,13,FALSE),0)&lt;=9),INT(VLOOKUP(AJ545,Equip!$A:$N,6,FALSE)*SQRT(AN545)),0)</f>
        <v>0</v>
      </c>
      <c r="AT545">
        <f>IF(AND(IFERROR(VLOOKUP(AK545,Equip!$A:$N,13,FALSE),0)&gt;=5,IFERROR(VLOOKUP(AK545,Equip!$A:$N,13,FALSE),0)&lt;=9),INT(VLOOKUP(AK545,Equip!$A:$N,6,FALSE)*SQRT(AO545)),0)</f>
        <v>0</v>
      </c>
      <c r="AU545">
        <f>IF(AND(IFERROR(VLOOKUP(AL545,Equip!$A:$N,13,FALSE),0)&gt;=5,IFERROR(VLOOKUP(AL545,Equip!$A:$N,13,FALSE),0)&lt;=9),INT(VLOOKUP(AL545,Equip!$A:$N,6,FALSE)*SQRT(AP545)),0)</f>
        <v>0</v>
      </c>
      <c r="AV545">
        <f>IF(AND(IFERROR(VLOOKUP(AM545,Equip!$A:$N,13,FALSE),0)&gt;=5,IFERROR(VLOOKUP(AM545,Equip!$A:$N,13,FALSE),0)&lt;=9),INT(VLOOKUP(AM545,Equip!$A:$N,6,FALSE)*SQRT(AQ545)),0)</f>
        <v>0</v>
      </c>
      <c r="AW545">
        <f t="shared" si="1560"/>
        <v>0</v>
      </c>
      <c r="AX545">
        <f t="shared" si="1561"/>
        <v>379</v>
      </c>
    </row>
    <row r="546" spans="1:50">
      <c r="A546">
        <v>578</v>
      </c>
      <c r="B546" t="s">
        <v>968</v>
      </c>
      <c r="C546" t="s">
        <v>968</v>
      </c>
      <c r="D546">
        <v>0</v>
      </c>
      <c r="E546">
        <v>0</v>
      </c>
      <c r="F546">
        <v>0</v>
      </c>
      <c r="G546">
        <v>504</v>
      </c>
      <c r="H546">
        <v>0</v>
      </c>
      <c r="I546">
        <v>0</v>
      </c>
      <c r="J546">
        <v>0</v>
      </c>
      <c r="K546">
        <v>1</v>
      </c>
      <c r="L546">
        <v>1</v>
      </c>
      <c r="M546">
        <v>40</v>
      </c>
      <c r="N546">
        <v>40</v>
      </c>
      <c r="O546">
        <v>48</v>
      </c>
      <c r="P546">
        <v>33</v>
      </c>
      <c r="Q546">
        <v>84</v>
      </c>
      <c r="R546">
        <v>66</v>
      </c>
      <c r="S546">
        <v>38</v>
      </c>
      <c r="T546">
        <v>88</v>
      </c>
      <c r="U546">
        <v>10</v>
      </c>
      <c r="V546">
        <v>28</v>
      </c>
      <c r="W546">
        <v>1</v>
      </c>
      <c r="X546">
        <v>48</v>
      </c>
      <c r="Y546">
        <v>5</v>
      </c>
      <c r="Z546">
        <v>0</v>
      </c>
      <c r="AA546">
        <v>0</v>
      </c>
      <c r="AB546">
        <v>48</v>
      </c>
      <c r="AC546">
        <v>84</v>
      </c>
      <c r="AD546">
        <v>38</v>
      </c>
      <c r="AE546">
        <v>33</v>
      </c>
      <c r="AF546">
        <v>48</v>
      </c>
      <c r="AG546">
        <v>66</v>
      </c>
      <c r="AH546">
        <v>88</v>
      </c>
      <c r="AI546">
        <v>28</v>
      </c>
      <c r="AJ546">
        <v>502</v>
      </c>
      <c r="AK546">
        <v>515</v>
      </c>
      <c r="AL546">
        <v>542</v>
      </c>
      <c r="AM546">
        <v>-1</v>
      </c>
      <c r="AN546">
        <v>0</v>
      </c>
      <c r="AO546">
        <v>0</v>
      </c>
      <c r="AP546">
        <v>0</v>
      </c>
      <c r="AQ546">
        <v>0</v>
      </c>
      <c r="AR546">
        <f t="shared" si="1562"/>
        <v>0</v>
      </c>
      <c r="AS546">
        <f>IF(AND(IFERROR(VLOOKUP(AJ546,Equip!$A:$N,13,FALSE),0)&gt;=5,IFERROR(VLOOKUP(AJ546,Equip!$A:$N,13,FALSE),0)&lt;=9),INT(VLOOKUP(AJ546,Equip!$A:$N,6,FALSE)*SQRT(AN546)),0)</f>
        <v>0</v>
      </c>
      <c r="AT546">
        <f>IF(AND(IFERROR(VLOOKUP(AK546,Equip!$A:$N,13,FALSE),0)&gt;=5,IFERROR(VLOOKUP(AK546,Equip!$A:$N,13,FALSE),0)&lt;=9),INT(VLOOKUP(AK546,Equip!$A:$N,6,FALSE)*SQRT(AO546)),0)</f>
        <v>0</v>
      </c>
      <c r="AU546">
        <f>IF(AND(IFERROR(VLOOKUP(AL546,Equip!$A:$N,13,FALSE),0)&gt;=5,IFERROR(VLOOKUP(AL546,Equip!$A:$N,13,FALSE),0)&lt;=9),INT(VLOOKUP(AL546,Equip!$A:$N,6,FALSE)*SQRT(AP546)),0)</f>
        <v>0</v>
      </c>
      <c r="AV546">
        <f>IF(AND(IFERROR(VLOOKUP(AM546,Equip!$A:$N,13,FALSE),0)&gt;=5,IFERROR(VLOOKUP(AM546,Equip!$A:$N,13,FALSE),0)&lt;=9),INT(VLOOKUP(AM546,Equip!$A:$N,6,FALSE)*SQRT(AQ546)),0)</f>
        <v>0</v>
      </c>
      <c r="AW546">
        <f t="shared" si="1560"/>
        <v>0</v>
      </c>
      <c r="AX546">
        <f t="shared" si="1561"/>
        <v>425</v>
      </c>
    </row>
    <row r="547" spans="1:50">
      <c r="A547">
        <v>579</v>
      </c>
      <c r="B547" t="s">
        <v>1233</v>
      </c>
      <c r="C547" t="s">
        <v>1233</v>
      </c>
      <c r="D547">
        <v>0</v>
      </c>
      <c r="E547">
        <v>0</v>
      </c>
      <c r="F547">
        <v>0</v>
      </c>
      <c r="G547">
        <v>512</v>
      </c>
      <c r="H547">
        <v>0</v>
      </c>
      <c r="I547">
        <v>0</v>
      </c>
      <c r="J547">
        <v>0</v>
      </c>
      <c r="K547">
        <v>12</v>
      </c>
      <c r="L547">
        <v>4</v>
      </c>
      <c r="M547">
        <v>96</v>
      </c>
      <c r="N547">
        <v>96</v>
      </c>
      <c r="O547">
        <v>25</v>
      </c>
      <c r="P547">
        <v>80</v>
      </c>
      <c r="Q547">
        <v>0</v>
      </c>
      <c r="R547">
        <v>45</v>
      </c>
      <c r="S547">
        <v>50</v>
      </c>
      <c r="T547">
        <v>0</v>
      </c>
      <c r="U547">
        <v>10</v>
      </c>
      <c r="V547">
        <v>50</v>
      </c>
      <c r="W547">
        <v>0</v>
      </c>
      <c r="X547">
        <v>30</v>
      </c>
      <c r="Y547">
        <v>5</v>
      </c>
      <c r="Z547">
        <v>0</v>
      </c>
      <c r="AA547">
        <v>0</v>
      </c>
      <c r="AB547">
        <v>25</v>
      </c>
      <c r="AC547">
        <v>0</v>
      </c>
      <c r="AD547">
        <v>50</v>
      </c>
      <c r="AE547">
        <v>80</v>
      </c>
      <c r="AF547">
        <v>30</v>
      </c>
      <c r="AG547">
        <v>45</v>
      </c>
      <c r="AH547">
        <v>0</v>
      </c>
      <c r="AI547">
        <v>50</v>
      </c>
      <c r="AJ547">
        <v>547</v>
      </c>
      <c r="AK547">
        <v>548</v>
      </c>
      <c r="AL547">
        <v>549</v>
      </c>
      <c r="AM547">
        <v>549</v>
      </c>
      <c r="AN547">
        <v>32</v>
      </c>
      <c r="AO547">
        <v>32</v>
      </c>
      <c r="AP547">
        <v>27</v>
      </c>
      <c r="AQ547">
        <v>5</v>
      </c>
      <c r="AR547">
        <f t="shared" si="1562"/>
        <v>96</v>
      </c>
      <c r="AS547">
        <f>IF(AND(IFERROR(VLOOKUP(AJ547,Equip!$A:$N,13,FALSE),0)&gt;=5,IFERROR(VLOOKUP(AJ547,Equip!$A:$N,13,FALSE),0)&lt;=9),INT(VLOOKUP(AJ547,Equip!$A:$N,6,FALSE)*SQRT(AN547)),0)</f>
        <v>0</v>
      </c>
      <c r="AT547">
        <f>IF(AND(IFERROR(VLOOKUP(AK547,Equip!$A:$N,13,FALSE),0)&gt;=5,IFERROR(VLOOKUP(AK547,Equip!$A:$N,13,FALSE),0)&lt;=9),INT(VLOOKUP(AK547,Equip!$A:$N,6,FALSE)*SQRT(AO547)),0)</f>
        <v>0</v>
      </c>
      <c r="AU547">
        <f>IF(AND(IFERROR(VLOOKUP(AL547,Equip!$A:$N,13,FALSE),0)&gt;=5,IFERROR(VLOOKUP(AL547,Equip!$A:$N,13,FALSE),0)&lt;=9),INT(VLOOKUP(AL547,Equip!$A:$N,6,FALSE)*SQRT(AP547)),0)</f>
        <v>0</v>
      </c>
      <c r="AV547">
        <f>IF(AND(IFERROR(VLOOKUP(AM547,Equip!$A:$N,13,FALSE),0)&gt;=5,IFERROR(VLOOKUP(AM547,Equip!$A:$N,13,FALSE),0)&lt;=9),INT(VLOOKUP(AM547,Equip!$A:$N,6,FALSE)*SQRT(AQ547)),0)</f>
        <v>0</v>
      </c>
      <c r="AW547">
        <f t="shared" si="1560"/>
        <v>0</v>
      </c>
      <c r="AX547">
        <f t="shared" si="1561"/>
        <v>346</v>
      </c>
    </row>
    <row r="548" spans="1:50">
      <c r="A548">
        <v>581</v>
      </c>
      <c r="B548" t="s">
        <v>969</v>
      </c>
      <c r="C548" t="s">
        <v>969</v>
      </c>
      <c r="D548">
        <v>0</v>
      </c>
      <c r="E548">
        <v>0</v>
      </c>
      <c r="F548">
        <v>0</v>
      </c>
      <c r="G548">
        <v>581</v>
      </c>
      <c r="H548">
        <v>0</v>
      </c>
      <c r="I548">
        <v>0</v>
      </c>
      <c r="J548">
        <v>0</v>
      </c>
      <c r="K548">
        <v>7</v>
      </c>
      <c r="L548">
        <v>0</v>
      </c>
      <c r="M548">
        <v>360</v>
      </c>
      <c r="N548">
        <v>360</v>
      </c>
      <c r="O548">
        <v>90</v>
      </c>
      <c r="P548">
        <v>135</v>
      </c>
      <c r="Q548">
        <v>0</v>
      </c>
      <c r="R548">
        <v>10</v>
      </c>
      <c r="S548">
        <v>130</v>
      </c>
      <c r="T548">
        <v>0</v>
      </c>
      <c r="U548">
        <v>0</v>
      </c>
      <c r="V548">
        <v>80</v>
      </c>
      <c r="W548">
        <v>2</v>
      </c>
      <c r="X548">
        <v>40</v>
      </c>
      <c r="Y548">
        <v>15</v>
      </c>
      <c r="Z548">
        <v>0</v>
      </c>
      <c r="AA548">
        <v>0</v>
      </c>
      <c r="AB548">
        <v>90</v>
      </c>
      <c r="AC548">
        <v>0</v>
      </c>
      <c r="AD548">
        <v>130</v>
      </c>
      <c r="AE548">
        <v>135</v>
      </c>
      <c r="AF548">
        <v>40</v>
      </c>
      <c r="AG548">
        <v>10</v>
      </c>
      <c r="AH548">
        <v>0</v>
      </c>
      <c r="AI548">
        <v>80</v>
      </c>
      <c r="AJ548">
        <v>504</v>
      </c>
      <c r="AK548">
        <v>521</v>
      </c>
      <c r="AL548">
        <v>548</v>
      </c>
      <c r="AM548">
        <v>517</v>
      </c>
      <c r="AN548">
        <v>0</v>
      </c>
      <c r="AO548">
        <v>72</v>
      </c>
      <c r="AP548">
        <v>64</v>
      </c>
      <c r="AQ548">
        <v>36</v>
      </c>
      <c r="AR548">
        <f t="shared" si="1562"/>
        <v>172</v>
      </c>
      <c r="AS548">
        <f>IF(AND(IFERROR(VLOOKUP(AJ548,Equip!$A:$N,13,FALSE),0)&gt;=5,IFERROR(VLOOKUP(AJ548,Equip!$A:$N,13,FALSE),0)&lt;=9),INT(VLOOKUP(AJ548,Equip!$A:$N,6,FALSE)*SQRT(AN548)),0)</f>
        <v>0</v>
      </c>
      <c r="AT548">
        <f>IF(AND(IFERROR(VLOOKUP(AK548,Equip!$A:$N,13,FALSE),0)&gt;=5,IFERROR(VLOOKUP(AK548,Equip!$A:$N,13,FALSE),0)&lt;=9),INT(VLOOKUP(AK548,Equip!$A:$N,6,FALSE)*SQRT(AO548)),0)</f>
        <v>0</v>
      </c>
      <c r="AU548">
        <f>IF(AND(IFERROR(VLOOKUP(AL548,Equip!$A:$N,13,FALSE),0)&gt;=5,IFERROR(VLOOKUP(AL548,Equip!$A:$N,13,FALSE),0)&lt;=9),INT(VLOOKUP(AL548,Equip!$A:$N,6,FALSE)*SQRT(AP548)),0)</f>
        <v>0</v>
      </c>
      <c r="AV548">
        <f>IF(AND(IFERROR(VLOOKUP(AM548,Equip!$A:$N,13,FALSE),0)&gt;=5,IFERROR(VLOOKUP(AM548,Equip!$A:$N,13,FALSE),0)&lt;=9),INT(VLOOKUP(AM548,Equip!$A:$N,6,FALSE)*SQRT(AQ548)),0)</f>
        <v>0</v>
      </c>
      <c r="AW548">
        <f t="shared" si="1560"/>
        <v>0</v>
      </c>
      <c r="AX548">
        <f t="shared" si="1561"/>
        <v>805</v>
      </c>
    </row>
    <row r="549" spans="1:50">
      <c r="A549">
        <v>582</v>
      </c>
      <c r="B549" t="s">
        <v>969</v>
      </c>
      <c r="C549" t="s">
        <v>969</v>
      </c>
      <c r="D549">
        <v>0</v>
      </c>
      <c r="E549">
        <v>0</v>
      </c>
      <c r="F549">
        <v>0</v>
      </c>
      <c r="G549">
        <v>581</v>
      </c>
      <c r="H549">
        <v>0</v>
      </c>
      <c r="I549">
        <v>0</v>
      </c>
      <c r="J549">
        <v>0</v>
      </c>
      <c r="K549">
        <v>7</v>
      </c>
      <c r="L549">
        <v>0</v>
      </c>
      <c r="M549">
        <v>500</v>
      </c>
      <c r="N549">
        <v>500</v>
      </c>
      <c r="O549">
        <v>170</v>
      </c>
      <c r="P549">
        <v>145</v>
      </c>
      <c r="Q549">
        <v>0</v>
      </c>
      <c r="R549">
        <v>20</v>
      </c>
      <c r="S549">
        <v>160</v>
      </c>
      <c r="T549">
        <v>0</v>
      </c>
      <c r="U549">
        <v>0</v>
      </c>
      <c r="V549">
        <v>100</v>
      </c>
      <c r="W549">
        <v>2</v>
      </c>
      <c r="X549">
        <v>50</v>
      </c>
      <c r="Y549">
        <v>20</v>
      </c>
      <c r="Z549">
        <v>0</v>
      </c>
      <c r="AA549">
        <v>0</v>
      </c>
      <c r="AB549">
        <v>170</v>
      </c>
      <c r="AC549">
        <v>0</v>
      </c>
      <c r="AD549">
        <v>160</v>
      </c>
      <c r="AE549">
        <v>145</v>
      </c>
      <c r="AF549">
        <v>50</v>
      </c>
      <c r="AG549">
        <v>20</v>
      </c>
      <c r="AH549">
        <v>0</v>
      </c>
      <c r="AI549">
        <v>100</v>
      </c>
      <c r="AJ549">
        <v>504</v>
      </c>
      <c r="AK549">
        <v>547</v>
      </c>
      <c r="AL549">
        <v>548</v>
      </c>
      <c r="AM549">
        <v>549</v>
      </c>
      <c r="AN549">
        <v>0</v>
      </c>
      <c r="AO549">
        <v>72</v>
      </c>
      <c r="AP549">
        <v>80</v>
      </c>
      <c r="AQ549">
        <v>40</v>
      </c>
      <c r="AR549">
        <f t="shared" si="1562"/>
        <v>192</v>
      </c>
      <c r="AS549">
        <f>IF(AND(IFERROR(VLOOKUP(AJ549,Equip!$A:$N,13,FALSE),0)&gt;=5,IFERROR(VLOOKUP(AJ549,Equip!$A:$N,13,FALSE),0)&lt;=9),INT(VLOOKUP(AJ549,Equip!$A:$N,6,FALSE)*SQRT(AN549)),0)</f>
        <v>0</v>
      </c>
      <c r="AT549">
        <f>IF(AND(IFERROR(VLOOKUP(AK549,Equip!$A:$N,13,FALSE),0)&gt;=5,IFERROR(VLOOKUP(AK549,Equip!$A:$N,13,FALSE),0)&lt;=9),INT(VLOOKUP(AK549,Equip!$A:$N,6,FALSE)*SQRT(AO549)),0)</f>
        <v>0</v>
      </c>
      <c r="AU549">
        <f>IF(AND(IFERROR(VLOOKUP(AL549,Equip!$A:$N,13,FALSE),0)&gt;=5,IFERROR(VLOOKUP(AL549,Equip!$A:$N,13,FALSE),0)&lt;=9),INT(VLOOKUP(AL549,Equip!$A:$N,6,FALSE)*SQRT(AP549)),0)</f>
        <v>0</v>
      </c>
      <c r="AV549">
        <f>IF(AND(IFERROR(VLOOKUP(AM549,Equip!$A:$N,13,FALSE),0)&gt;=5,IFERROR(VLOOKUP(AM549,Equip!$A:$N,13,FALSE),0)&lt;=9),INT(VLOOKUP(AM549,Equip!$A:$N,6,FALSE)*SQRT(AQ549)),0)</f>
        <v>0</v>
      </c>
      <c r="AW549">
        <f t="shared" si="1560"/>
        <v>0</v>
      </c>
      <c r="AX549">
        <f t="shared" si="1561"/>
        <v>1095</v>
      </c>
    </row>
    <row r="550" spans="1:50">
      <c r="A550">
        <v>583</v>
      </c>
      <c r="B550" t="s">
        <v>970</v>
      </c>
      <c r="C550" t="s">
        <v>970</v>
      </c>
      <c r="D550">
        <v>0</v>
      </c>
      <c r="E550">
        <v>0</v>
      </c>
      <c r="F550">
        <v>0</v>
      </c>
      <c r="G550">
        <v>583</v>
      </c>
      <c r="H550">
        <v>0</v>
      </c>
      <c r="I550">
        <v>0</v>
      </c>
      <c r="J550">
        <v>0</v>
      </c>
      <c r="K550">
        <v>7</v>
      </c>
      <c r="L550">
        <v>0</v>
      </c>
      <c r="M550">
        <v>550</v>
      </c>
      <c r="N550">
        <v>550</v>
      </c>
      <c r="O550">
        <v>100</v>
      </c>
      <c r="P550">
        <v>135</v>
      </c>
      <c r="Q550">
        <v>0</v>
      </c>
      <c r="R550">
        <v>15</v>
      </c>
      <c r="S550">
        <v>140</v>
      </c>
      <c r="T550">
        <v>0</v>
      </c>
      <c r="U550">
        <v>0</v>
      </c>
      <c r="V550">
        <v>100</v>
      </c>
      <c r="W550">
        <v>3</v>
      </c>
      <c r="X550">
        <v>50</v>
      </c>
      <c r="Y550">
        <v>15</v>
      </c>
      <c r="Z550">
        <v>0</v>
      </c>
      <c r="AA550">
        <v>0</v>
      </c>
      <c r="AB550">
        <v>100</v>
      </c>
      <c r="AC550">
        <v>0</v>
      </c>
      <c r="AD550">
        <v>140</v>
      </c>
      <c r="AE550">
        <v>135</v>
      </c>
      <c r="AF550">
        <v>50</v>
      </c>
      <c r="AG550">
        <v>15</v>
      </c>
      <c r="AH550">
        <v>0</v>
      </c>
      <c r="AI550">
        <v>100</v>
      </c>
      <c r="AJ550">
        <v>505</v>
      </c>
      <c r="AK550">
        <v>547</v>
      </c>
      <c r="AL550">
        <v>548</v>
      </c>
      <c r="AM550">
        <v>549</v>
      </c>
      <c r="AN550">
        <v>0</v>
      </c>
      <c r="AO550">
        <v>64</v>
      </c>
      <c r="AP550">
        <v>58</v>
      </c>
      <c r="AQ550">
        <v>58</v>
      </c>
      <c r="AR550">
        <f t="shared" si="1562"/>
        <v>180</v>
      </c>
      <c r="AS550">
        <f>IF(AND(IFERROR(VLOOKUP(AJ550,Equip!$A:$N,13,FALSE),0)&gt;=5,IFERROR(VLOOKUP(AJ550,Equip!$A:$N,13,FALSE),0)&lt;=9),INT(VLOOKUP(AJ550,Equip!$A:$N,6,FALSE)*SQRT(AN550)),0)</f>
        <v>0</v>
      </c>
      <c r="AT550">
        <f>IF(AND(IFERROR(VLOOKUP(AK550,Equip!$A:$N,13,FALSE),0)&gt;=5,IFERROR(VLOOKUP(AK550,Equip!$A:$N,13,FALSE),0)&lt;=9),INT(VLOOKUP(AK550,Equip!$A:$N,6,FALSE)*SQRT(AO550)),0)</f>
        <v>0</v>
      </c>
      <c r="AU550">
        <f>IF(AND(IFERROR(VLOOKUP(AL550,Equip!$A:$N,13,FALSE),0)&gt;=5,IFERROR(VLOOKUP(AL550,Equip!$A:$N,13,FALSE),0)&lt;=9),INT(VLOOKUP(AL550,Equip!$A:$N,6,FALSE)*SQRT(AP550)),0)</f>
        <v>0</v>
      </c>
      <c r="AV550">
        <f>IF(AND(IFERROR(VLOOKUP(AM550,Equip!$A:$N,13,FALSE),0)&gt;=5,IFERROR(VLOOKUP(AM550,Equip!$A:$N,13,FALSE),0)&lt;=9),INT(VLOOKUP(AM550,Equip!$A:$N,6,FALSE)*SQRT(AQ550)),0)</f>
        <v>0</v>
      </c>
      <c r="AW550">
        <f t="shared" si="1560"/>
        <v>0</v>
      </c>
      <c r="AX550">
        <f t="shared" si="1561"/>
        <v>1040</v>
      </c>
    </row>
    <row r="551" spans="1:50">
      <c r="A551">
        <v>584</v>
      </c>
      <c r="B551" t="s">
        <v>970</v>
      </c>
      <c r="C551" t="s">
        <v>970</v>
      </c>
      <c r="D551">
        <v>0</v>
      </c>
      <c r="E551">
        <v>0</v>
      </c>
      <c r="F551">
        <v>0</v>
      </c>
      <c r="G551">
        <v>583</v>
      </c>
      <c r="H551">
        <v>0</v>
      </c>
      <c r="I551">
        <v>0</v>
      </c>
      <c r="J551">
        <v>0</v>
      </c>
      <c r="K551">
        <v>7</v>
      </c>
      <c r="L551">
        <v>0</v>
      </c>
      <c r="M551">
        <v>600</v>
      </c>
      <c r="N551">
        <v>600</v>
      </c>
      <c r="O551">
        <v>180</v>
      </c>
      <c r="P551">
        <v>180</v>
      </c>
      <c r="Q551">
        <v>0</v>
      </c>
      <c r="R551">
        <v>30</v>
      </c>
      <c r="S551">
        <v>180</v>
      </c>
      <c r="T551">
        <v>0</v>
      </c>
      <c r="U551">
        <v>0</v>
      </c>
      <c r="V551">
        <v>130</v>
      </c>
      <c r="W551">
        <v>3</v>
      </c>
      <c r="X551">
        <v>60</v>
      </c>
      <c r="Y551">
        <v>20</v>
      </c>
      <c r="Z551">
        <v>0</v>
      </c>
      <c r="AA551">
        <v>0</v>
      </c>
      <c r="AB551">
        <v>180</v>
      </c>
      <c r="AC551">
        <v>0</v>
      </c>
      <c r="AD551">
        <v>180</v>
      </c>
      <c r="AE551">
        <v>180</v>
      </c>
      <c r="AF551">
        <v>60</v>
      </c>
      <c r="AG551">
        <v>30</v>
      </c>
      <c r="AH551">
        <v>0</v>
      </c>
      <c r="AI551">
        <v>130</v>
      </c>
      <c r="AJ551">
        <v>505</v>
      </c>
      <c r="AK551">
        <v>547</v>
      </c>
      <c r="AL551">
        <v>548</v>
      </c>
      <c r="AM551">
        <v>532</v>
      </c>
      <c r="AN551">
        <v>0</v>
      </c>
      <c r="AO551">
        <v>84</v>
      </c>
      <c r="AP551">
        <v>96</v>
      </c>
      <c r="AQ551">
        <v>0</v>
      </c>
      <c r="AR551">
        <f t="shared" si="1562"/>
        <v>180</v>
      </c>
      <c r="AS551">
        <f>IF(AND(IFERROR(VLOOKUP(AJ551,Equip!$A:$N,13,FALSE),0)&gt;=5,IFERROR(VLOOKUP(AJ551,Equip!$A:$N,13,FALSE),0)&lt;=9),INT(VLOOKUP(AJ551,Equip!$A:$N,6,FALSE)*SQRT(AN551)),0)</f>
        <v>0</v>
      </c>
      <c r="AT551">
        <f>IF(AND(IFERROR(VLOOKUP(AK551,Equip!$A:$N,13,FALSE),0)&gt;=5,IFERROR(VLOOKUP(AK551,Equip!$A:$N,13,FALSE),0)&lt;=9),INT(VLOOKUP(AK551,Equip!$A:$N,6,FALSE)*SQRT(AO551)),0)</f>
        <v>0</v>
      </c>
      <c r="AU551">
        <f>IF(AND(IFERROR(VLOOKUP(AL551,Equip!$A:$N,13,FALSE),0)&gt;=5,IFERROR(VLOOKUP(AL551,Equip!$A:$N,13,FALSE),0)&lt;=9),INT(VLOOKUP(AL551,Equip!$A:$N,6,FALSE)*SQRT(AP551)),0)</f>
        <v>0</v>
      </c>
      <c r="AV551">
        <f>IF(AND(IFERROR(VLOOKUP(AM551,Equip!$A:$N,13,FALSE),0)&gt;=5,IFERROR(VLOOKUP(AM551,Equip!$A:$N,13,FALSE),0)&lt;=9),INT(VLOOKUP(AM551,Equip!$A:$N,6,FALSE)*SQRT(AQ551)),0)</f>
        <v>0</v>
      </c>
      <c r="AW551">
        <f t="shared" si="1560"/>
        <v>0</v>
      </c>
      <c r="AX551">
        <f t="shared" si="1561"/>
        <v>1300</v>
      </c>
    </row>
    <row r="552" spans="1:50">
      <c r="A552">
        <v>585</v>
      </c>
      <c r="B552" t="s">
        <v>971</v>
      </c>
      <c r="C552" t="s">
        <v>971</v>
      </c>
      <c r="D552">
        <v>0</v>
      </c>
      <c r="E552">
        <v>0</v>
      </c>
      <c r="F552">
        <v>0</v>
      </c>
      <c r="G552">
        <v>585</v>
      </c>
      <c r="H552">
        <v>0</v>
      </c>
      <c r="I552">
        <v>0</v>
      </c>
      <c r="J552">
        <v>0</v>
      </c>
      <c r="K552">
        <v>12</v>
      </c>
      <c r="L552">
        <v>4</v>
      </c>
      <c r="M552">
        <v>250</v>
      </c>
      <c r="N552">
        <v>250</v>
      </c>
      <c r="O552">
        <v>120</v>
      </c>
      <c r="P552">
        <v>138</v>
      </c>
      <c r="Q552">
        <v>0</v>
      </c>
      <c r="R552">
        <v>46</v>
      </c>
      <c r="S552">
        <v>100</v>
      </c>
      <c r="T552">
        <v>0</v>
      </c>
      <c r="U552">
        <v>10</v>
      </c>
      <c r="V552">
        <v>100</v>
      </c>
      <c r="W552">
        <v>3</v>
      </c>
      <c r="X552">
        <v>50</v>
      </c>
      <c r="Y552">
        <v>15</v>
      </c>
      <c r="Z552">
        <v>0</v>
      </c>
      <c r="AA552">
        <v>0</v>
      </c>
      <c r="AB552">
        <v>120</v>
      </c>
      <c r="AC552">
        <v>0</v>
      </c>
      <c r="AD552">
        <v>100</v>
      </c>
      <c r="AE552">
        <v>138</v>
      </c>
      <c r="AF552">
        <v>50</v>
      </c>
      <c r="AG552">
        <v>46</v>
      </c>
      <c r="AH552">
        <v>0</v>
      </c>
      <c r="AI552">
        <v>100</v>
      </c>
      <c r="AJ552">
        <v>547</v>
      </c>
      <c r="AK552">
        <v>548</v>
      </c>
      <c r="AL552">
        <v>549</v>
      </c>
      <c r="AM552">
        <v>532</v>
      </c>
      <c r="AN552">
        <v>48</v>
      </c>
      <c r="AO552">
        <v>48</v>
      </c>
      <c r="AP552">
        <v>48</v>
      </c>
      <c r="AQ552">
        <v>0</v>
      </c>
      <c r="AR552">
        <f t="shared" si="1562"/>
        <v>144</v>
      </c>
      <c r="AS552">
        <f>IF(AND(IFERROR(VLOOKUP(AJ552,Equip!$A:$N,13,FALSE),0)&gt;=5,IFERROR(VLOOKUP(AJ552,Equip!$A:$N,13,FALSE),0)&lt;=9),INT(VLOOKUP(AJ552,Equip!$A:$N,6,FALSE)*SQRT(AN552)),0)</f>
        <v>0</v>
      </c>
      <c r="AT552">
        <f>IF(AND(IFERROR(VLOOKUP(AK552,Equip!$A:$N,13,FALSE),0)&gt;=5,IFERROR(VLOOKUP(AK552,Equip!$A:$N,13,FALSE),0)&lt;=9),INT(VLOOKUP(AK552,Equip!$A:$N,6,FALSE)*SQRT(AO552)),0)</f>
        <v>0</v>
      </c>
      <c r="AU552">
        <f>IF(AND(IFERROR(VLOOKUP(AL552,Equip!$A:$N,13,FALSE),0)&gt;=5,IFERROR(VLOOKUP(AL552,Equip!$A:$N,13,FALSE),0)&lt;=9),INT(VLOOKUP(AL552,Equip!$A:$N,6,FALSE)*SQRT(AP552)),0)</f>
        <v>0</v>
      </c>
      <c r="AV552">
        <f>IF(AND(IFERROR(VLOOKUP(AM552,Equip!$A:$N,13,FALSE),0)&gt;=5,IFERROR(VLOOKUP(AM552,Equip!$A:$N,13,FALSE),0)&lt;=9),INT(VLOOKUP(AM552,Equip!$A:$N,6,FALSE)*SQRT(AQ552)),0)</f>
        <v>0</v>
      </c>
      <c r="AW552">
        <f t="shared" si="1560"/>
        <v>0</v>
      </c>
      <c r="AX552">
        <f t="shared" si="1561"/>
        <v>754</v>
      </c>
    </row>
    <row r="553" spans="1:50">
      <c r="A553">
        <v>586</v>
      </c>
      <c r="B553" t="s">
        <v>972</v>
      </c>
      <c r="C553" t="s">
        <v>972</v>
      </c>
      <c r="D553">
        <v>0</v>
      </c>
      <c r="E553">
        <v>0</v>
      </c>
      <c r="F553">
        <v>0</v>
      </c>
      <c r="G553">
        <v>586</v>
      </c>
      <c r="H553">
        <v>0</v>
      </c>
      <c r="I553">
        <v>0</v>
      </c>
      <c r="J553">
        <v>0</v>
      </c>
      <c r="K553">
        <v>12</v>
      </c>
      <c r="L553">
        <v>4</v>
      </c>
      <c r="M553">
        <v>350</v>
      </c>
      <c r="N553">
        <v>350</v>
      </c>
      <c r="O553">
        <v>180</v>
      </c>
      <c r="P553">
        <v>150</v>
      </c>
      <c r="Q553">
        <v>0</v>
      </c>
      <c r="R553">
        <v>53</v>
      </c>
      <c r="S553">
        <v>130</v>
      </c>
      <c r="T553">
        <v>0</v>
      </c>
      <c r="U553">
        <v>10</v>
      </c>
      <c r="V553">
        <v>130</v>
      </c>
      <c r="W553">
        <v>3</v>
      </c>
      <c r="X553">
        <v>70</v>
      </c>
      <c r="Y553">
        <v>15</v>
      </c>
      <c r="Z553">
        <v>0</v>
      </c>
      <c r="AA553">
        <v>0</v>
      </c>
      <c r="AB553">
        <v>180</v>
      </c>
      <c r="AC553">
        <v>0</v>
      </c>
      <c r="AD553">
        <v>130</v>
      </c>
      <c r="AE553">
        <v>150</v>
      </c>
      <c r="AF553">
        <v>70</v>
      </c>
      <c r="AG553">
        <v>53</v>
      </c>
      <c r="AH553">
        <v>0</v>
      </c>
      <c r="AI553">
        <v>130</v>
      </c>
      <c r="AJ553">
        <v>547</v>
      </c>
      <c r="AK553">
        <v>548</v>
      </c>
      <c r="AL553">
        <v>549</v>
      </c>
      <c r="AM553">
        <v>532</v>
      </c>
      <c r="AN553">
        <v>60</v>
      </c>
      <c r="AO553">
        <v>52</v>
      </c>
      <c r="AP553">
        <v>56</v>
      </c>
      <c r="AQ553">
        <v>0</v>
      </c>
      <c r="AR553">
        <f t="shared" si="1562"/>
        <v>168</v>
      </c>
      <c r="AS553">
        <f>IF(AND(IFERROR(VLOOKUP(AJ553,Equip!$A:$N,13,FALSE),0)&gt;=5,IFERROR(VLOOKUP(AJ553,Equip!$A:$N,13,FALSE),0)&lt;=9),INT(VLOOKUP(AJ553,Equip!$A:$N,6,FALSE)*SQRT(AN553)),0)</f>
        <v>0</v>
      </c>
      <c r="AT553">
        <f>IF(AND(IFERROR(VLOOKUP(AK553,Equip!$A:$N,13,FALSE),0)&gt;=5,IFERROR(VLOOKUP(AK553,Equip!$A:$N,13,FALSE),0)&lt;=9),INT(VLOOKUP(AK553,Equip!$A:$N,6,FALSE)*SQRT(AO553)),0)</f>
        <v>0</v>
      </c>
      <c r="AU553">
        <f>IF(AND(IFERROR(VLOOKUP(AL553,Equip!$A:$N,13,FALSE),0)&gt;=5,IFERROR(VLOOKUP(AL553,Equip!$A:$N,13,FALSE),0)&lt;=9),INT(VLOOKUP(AL553,Equip!$A:$N,6,FALSE)*SQRT(AP553)),0)</f>
        <v>0</v>
      </c>
      <c r="AV553">
        <f>IF(AND(IFERROR(VLOOKUP(AM553,Equip!$A:$N,13,FALSE),0)&gt;=5,IFERROR(VLOOKUP(AM553,Equip!$A:$N,13,FALSE),0)&lt;=9),INT(VLOOKUP(AM553,Equip!$A:$N,6,FALSE)*SQRT(AQ553)),0)</f>
        <v>0</v>
      </c>
      <c r="AW553">
        <f t="shared" si="1560"/>
        <v>0</v>
      </c>
      <c r="AX553">
        <f t="shared" si="1561"/>
        <v>993</v>
      </c>
    </row>
    <row r="554" spans="1:50">
      <c r="A554">
        <v>587</v>
      </c>
      <c r="B554" t="s">
        <v>969</v>
      </c>
      <c r="C554" t="s">
        <v>969</v>
      </c>
      <c r="D554">
        <v>0</v>
      </c>
      <c r="E554">
        <v>0</v>
      </c>
      <c r="F554">
        <v>0</v>
      </c>
      <c r="G554">
        <v>581</v>
      </c>
      <c r="H554">
        <v>0</v>
      </c>
      <c r="I554">
        <v>0</v>
      </c>
      <c r="J554">
        <v>0</v>
      </c>
      <c r="K554">
        <v>7</v>
      </c>
      <c r="L554">
        <v>0</v>
      </c>
      <c r="M554">
        <v>300</v>
      </c>
      <c r="N554">
        <v>300</v>
      </c>
      <c r="O554">
        <v>80</v>
      </c>
      <c r="P554">
        <v>125</v>
      </c>
      <c r="Q554">
        <v>0</v>
      </c>
      <c r="R554">
        <v>15</v>
      </c>
      <c r="S554">
        <v>120</v>
      </c>
      <c r="T554">
        <v>0</v>
      </c>
      <c r="U554">
        <v>0</v>
      </c>
      <c r="V554">
        <v>80</v>
      </c>
      <c r="W554">
        <v>2</v>
      </c>
      <c r="X554">
        <v>40</v>
      </c>
      <c r="Y554">
        <v>15</v>
      </c>
      <c r="Z554">
        <v>0</v>
      </c>
      <c r="AA554">
        <v>0</v>
      </c>
      <c r="AB554">
        <v>80</v>
      </c>
      <c r="AC554">
        <v>0</v>
      </c>
      <c r="AD554">
        <v>120</v>
      </c>
      <c r="AE554">
        <v>125</v>
      </c>
      <c r="AF554">
        <v>40</v>
      </c>
      <c r="AG554">
        <v>15</v>
      </c>
      <c r="AH554">
        <v>0</v>
      </c>
      <c r="AI554">
        <v>80</v>
      </c>
      <c r="AJ554">
        <v>504</v>
      </c>
      <c r="AK554">
        <v>521</v>
      </c>
      <c r="AL554">
        <v>548</v>
      </c>
      <c r="AM554">
        <v>517</v>
      </c>
      <c r="AN554">
        <v>0</v>
      </c>
      <c r="AO554">
        <v>72</v>
      </c>
      <c r="AP554">
        <v>64</v>
      </c>
      <c r="AQ554">
        <v>36</v>
      </c>
      <c r="AR554">
        <f t="shared" si="1562"/>
        <v>172</v>
      </c>
      <c r="AS554">
        <f>IF(AND(IFERROR(VLOOKUP(AJ554,Equip!$A:$N,13,FALSE),0)&gt;=5,IFERROR(VLOOKUP(AJ554,Equip!$A:$N,13,FALSE),0)&lt;=9),INT(VLOOKUP(AJ554,Equip!$A:$N,6,FALSE)*SQRT(AN554)),0)</f>
        <v>0</v>
      </c>
      <c r="AT554">
        <f>IF(AND(IFERROR(VLOOKUP(AK554,Equip!$A:$N,13,FALSE),0)&gt;=5,IFERROR(VLOOKUP(AK554,Equip!$A:$N,13,FALSE),0)&lt;=9),INT(VLOOKUP(AK554,Equip!$A:$N,6,FALSE)*SQRT(AO554)),0)</f>
        <v>0</v>
      </c>
      <c r="AU554">
        <f>IF(AND(IFERROR(VLOOKUP(AL554,Equip!$A:$N,13,FALSE),0)&gt;=5,IFERROR(VLOOKUP(AL554,Equip!$A:$N,13,FALSE),0)&lt;=9),INT(VLOOKUP(AL554,Equip!$A:$N,6,FALSE)*SQRT(AP554)),0)</f>
        <v>0</v>
      </c>
      <c r="AV554">
        <f>IF(AND(IFERROR(VLOOKUP(AM554,Equip!$A:$N,13,FALSE),0)&gt;=5,IFERROR(VLOOKUP(AM554,Equip!$A:$N,13,FALSE),0)&lt;=9),INT(VLOOKUP(AM554,Equip!$A:$N,6,FALSE)*SQRT(AQ554)),0)</f>
        <v>0</v>
      </c>
      <c r="AW554">
        <f t="shared" si="1560"/>
        <v>0</v>
      </c>
      <c r="AX554">
        <f t="shared" si="1561"/>
        <v>720</v>
      </c>
    </row>
    <row r="555" spans="1:50">
      <c r="A555">
        <v>588</v>
      </c>
      <c r="B555" t="s">
        <v>969</v>
      </c>
      <c r="C555" t="s">
        <v>969</v>
      </c>
      <c r="D555">
        <v>0</v>
      </c>
      <c r="E555">
        <v>0</v>
      </c>
      <c r="F555">
        <v>0</v>
      </c>
      <c r="G555">
        <v>581</v>
      </c>
      <c r="H555">
        <v>0</v>
      </c>
      <c r="I555">
        <v>0</v>
      </c>
      <c r="J555">
        <v>0</v>
      </c>
      <c r="K555">
        <v>7</v>
      </c>
      <c r="L555">
        <v>0</v>
      </c>
      <c r="M555">
        <v>390</v>
      </c>
      <c r="N555">
        <v>390</v>
      </c>
      <c r="O555">
        <v>140</v>
      </c>
      <c r="P555">
        <v>140</v>
      </c>
      <c r="Q555">
        <v>0</v>
      </c>
      <c r="R555">
        <v>25</v>
      </c>
      <c r="S555">
        <v>140</v>
      </c>
      <c r="T555">
        <v>0</v>
      </c>
      <c r="U555">
        <v>0</v>
      </c>
      <c r="V555">
        <v>100</v>
      </c>
      <c r="W555">
        <v>2</v>
      </c>
      <c r="X555">
        <v>50</v>
      </c>
      <c r="Y555">
        <v>20</v>
      </c>
      <c r="Z555">
        <v>0</v>
      </c>
      <c r="AA555">
        <v>0</v>
      </c>
      <c r="AB555">
        <v>140</v>
      </c>
      <c r="AC555">
        <v>0</v>
      </c>
      <c r="AD555">
        <v>140</v>
      </c>
      <c r="AE555">
        <v>140</v>
      </c>
      <c r="AF555">
        <v>50</v>
      </c>
      <c r="AG555">
        <v>25</v>
      </c>
      <c r="AH555">
        <v>0</v>
      </c>
      <c r="AI555">
        <v>100</v>
      </c>
      <c r="AJ555">
        <v>504</v>
      </c>
      <c r="AK555">
        <v>547</v>
      </c>
      <c r="AL555">
        <v>548</v>
      </c>
      <c r="AM555">
        <v>549</v>
      </c>
      <c r="AN555">
        <v>0</v>
      </c>
      <c r="AO555">
        <v>72</v>
      </c>
      <c r="AP555">
        <v>72</v>
      </c>
      <c r="AQ555">
        <v>40</v>
      </c>
      <c r="AR555">
        <f t="shared" si="1562"/>
        <v>184</v>
      </c>
      <c r="AS555">
        <f>IF(AND(IFERROR(VLOOKUP(AJ555,Equip!$A:$N,13,FALSE),0)&gt;=5,IFERROR(VLOOKUP(AJ555,Equip!$A:$N,13,FALSE),0)&lt;=9),INT(VLOOKUP(AJ555,Equip!$A:$N,6,FALSE)*SQRT(AN555)),0)</f>
        <v>0</v>
      </c>
      <c r="AT555">
        <f>IF(AND(IFERROR(VLOOKUP(AK555,Equip!$A:$N,13,FALSE),0)&gt;=5,IFERROR(VLOOKUP(AK555,Equip!$A:$N,13,FALSE),0)&lt;=9),INT(VLOOKUP(AK555,Equip!$A:$N,6,FALSE)*SQRT(AO555)),0)</f>
        <v>0</v>
      </c>
      <c r="AU555">
        <f>IF(AND(IFERROR(VLOOKUP(AL555,Equip!$A:$N,13,FALSE),0)&gt;=5,IFERROR(VLOOKUP(AL555,Equip!$A:$N,13,FALSE),0)&lt;=9),INT(VLOOKUP(AL555,Equip!$A:$N,6,FALSE)*SQRT(AP555)),0)</f>
        <v>0</v>
      </c>
      <c r="AV555">
        <f>IF(AND(IFERROR(VLOOKUP(AM555,Equip!$A:$N,13,FALSE),0)&gt;=5,IFERROR(VLOOKUP(AM555,Equip!$A:$N,13,FALSE),0)&lt;=9),INT(VLOOKUP(AM555,Equip!$A:$N,6,FALSE)*SQRT(AQ555)),0)</f>
        <v>0</v>
      </c>
      <c r="AW555">
        <f t="shared" si="1560"/>
        <v>0</v>
      </c>
      <c r="AX555">
        <f t="shared" si="1561"/>
        <v>935</v>
      </c>
    </row>
    <row r="556" spans="1:50">
      <c r="A556">
        <v>589</v>
      </c>
      <c r="B556" t="s">
        <v>969</v>
      </c>
      <c r="C556" t="s">
        <v>969</v>
      </c>
      <c r="D556">
        <v>0</v>
      </c>
      <c r="E556">
        <v>0</v>
      </c>
      <c r="F556">
        <v>0</v>
      </c>
      <c r="G556">
        <v>581</v>
      </c>
      <c r="H556">
        <v>0</v>
      </c>
      <c r="I556">
        <v>0</v>
      </c>
      <c r="J556">
        <v>0</v>
      </c>
      <c r="K556">
        <v>7</v>
      </c>
      <c r="L556">
        <v>0</v>
      </c>
      <c r="M556">
        <v>300</v>
      </c>
      <c r="N556">
        <v>300</v>
      </c>
      <c r="O556">
        <v>60</v>
      </c>
      <c r="P556">
        <v>110</v>
      </c>
      <c r="Q556">
        <v>0</v>
      </c>
      <c r="R556">
        <v>5</v>
      </c>
      <c r="S556">
        <v>100</v>
      </c>
      <c r="T556">
        <v>0</v>
      </c>
      <c r="U556">
        <v>0</v>
      </c>
      <c r="V556">
        <v>80</v>
      </c>
      <c r="W556">
        <v>2</v>
      </c>
      <c r="X556">
        <v>35</v>
      </c>
      <c r="Y556">
        <v>15</v>
      </c>
      <c r="Z556">
        <v>0</v>
      </c>
      <c r="AA556">
        <v>0</v>
      </c>
      <c r="AB556">
        <v>60</v>
      </c>
      <c r="AC556">
        <v>0</v>
      </c>
      <c r="AD556">
        <v>100</v>
      </c>
      <c r="AE556">
        <v>110</v>
      </c>
      <c r="AF556">
        <v>35</v>
      </c>
      <c r="AG556">
        <v>5</v>
      </c>
      <c r="AH556">
        <v>0</v>
      </c>
      <c r="AI556">
        <v>80</v>
      </c>
      <c r="AJ556">
        <v>504</v>
      </c>
      <c r="AK556">
        <v>521</v>
      </c>
      <c r="AL556">
        <v>548</v>
      </c>
      <c r="AM556">
        <v>517</v>
      </c>
      <c r="AN556">
        <v>0</v>
      </c>
      <c r="AO556">
        <v>64</v>
      </c>
      <c r="AP556">
        <v>48</v>
      </c>
      <c r="AQ556">
        <v>36</v>
      </c>
      <c r="AR556">
        <f t="shared" si="1562"/>
        <v>148</v>
      </c>
      <c r="AS556">
        <f>IF(AND(IFERROR(VLOOKUP(AJ556,Equip!$A:$N,13,FALSE),0)&gt;=5,IFERROR(VLOOKUP(AJ556,Equip!$A:$N,13,FALSE),0)&lt;=9),INT(VLOOKUP(AJ556,Equip!$A:$N,6,FALSE)*SQRT(AN556)),0)</f>
        <v>0</v>
      </c>
      <c r="AT556">
        <f>IF(AND(IFERROR(VLOOKUP(AK556,Equip!$A:$N,13,FALSE),0)&gt;=5,IFERROR(VLOOKUP(AK556,Equip!$A:$N,13,FALSE),0)&lt;=9),INT(VLOOKUP(AK556,Equip!$A:$N,6,FALSE)*SQRT(AO556)),0)</f>
        <v>0</v>
      </c>
      <c r="AU556">
        <f>IF(AND(IFERROR(VLOOKUP(AL556,Equip!$A:$N,13,FALSE),0)&gt;=5,IFERROR(VLOOKUP(AL556,Equip!$A:$N,13,FALSE),0)&lt;=9),INT(VLOOKUP(AL556,Equip!$A:$N,6,FALSE)*SQRT(AP556)),0)</f>
        <v>0</v>
      </c>
      <c r="AV556">
        <f>IF(AND(IFERROR(VLOOKUP(AM556,Equip!$A:$N,13,FALSE),0)&gt;=5,IFERROR(VLOOKUP(AM556,Equip!$A:$N,13,FALSE),0)&lt;=9),INT(VLOOKUP(AM556,Equip!$A:$N,6,FALSE)*SQRT(AQ556)),0)</f>
        <v>0</v>
      </c>
      <c r="AW556">
        <f t="shared" si="1560"/>
        <v>0</v>
      </c>
      <c r="AX556">
        <f t="shared" si="1561"/>
        <v>655</v>
      </c>
    </row>
    <row r="557" spans="1:50">
      <c r="A557">
        <v>590</v>
      </c>
      <c r="B557" t="s">
        <v>969</v>
      </c>
      <c r="C557" t="s">
        <v>969</v>
      </c>
      <c r="D557">
        <v>0</v>
      </c>
      <c r="E557">
        <v>0</v>
      </c>
      <c r="F557">
        <v>0</v>
      </c>
      <c r="G557">
        <v>581</v>
      </c>
      <c r="H557">
        <v>0</v>
      </c>
      <c r="I557">
        <v>0</v>
      </c>
      <c r="J557">
        <v>0</v>
      </c>
      <c r="K557">
        <v>7</v>
      </c>
      <c r="L557">
        <v>0</v>
      </c>
      <c r="M557">
        <v>390</v>
      </c>
      <c r="N557">
        <v>390</v>
      </c>
      <c r="O557">
        <v>140</v>
      </c>
      <c r="P557">
        <v>125</v>
      </c>
      <c r="Q557">
        <v>0</v>
      </c>
      <c r="R557">
        <v>25</v>
      </c>
      <c r="S557">
        <v>120</v>
      </c>
      <c r="T557">
        <v>0</v>
      </c>
      <c r="U557">
        <v>0</v>
      </c>
      <c r="V557">
        <v>100</v>
      </c>
      <c r="W557">
        <v>2</v>
      </c>
      <c r="X557">
        <v>40</v>
      </c>
      <c r="Y557">
        <v>20</v>
      </c>
      <c r="Z557">
        <v>0</v>
      </c>
      <c r="AA557">
        <v>0</v>
      </c>
      <c r="AB557">
        <v>140</v>
      </c>
      <c r="AC557">
        <v>0</v>
      </c>
      <c r="AD557">
        <v>120</v>
      </c>
      <c r="AE557">
        <v>125</v>
      </c>
      <c r="AF557">
        <v>40</v>
      </c>
      <c r="AG557">
        <v>25</v>
      </c>
      <c r="AH557">
        <v>0</v>
      </c>
      <c r="AI557">
        <v>100</v>
      </c>
      <c r="AJ557">
        <v>504</v>
      </c>
      <c r="AK557">
        <v>547</v>
      </c>
      <c r="AL557">
        <v>548</v>
      </c>
      <c r="AM557">
        <v>549</v>
      </c>
      <c r="AN557">
        <v>0</v>
      </c>
      <c r="AO557">
        <v>64</v>
      </c>
      <c r="AP557">
        <v>68</v>
      </c>
      <c r="AQ557">
        <v>40</v>
      </c>
      <c r="AR557">
        <f t="shared" si="1562"/>
        <v>172</v>
      </c>
      <c r="AS557">
        <f>IF(AND(IFERROR(VLOOKUP(AJ557,Equip!$A:$N,13,FALSE),0)&gt;=5,IFERROR(VLOOKUP(AJ557,Equip!$A:$N,13,FALSE),0)&lt;=9),INT(VLOOKUP(AJ557,Equip!$A:$N,6,FALSE)*SQRT(AN557)),0)</f>
        <v>0</v>
      </c>
      <c r="AT557">
        <f>IF(AND(IFERROR(VLOOKUP(AK557,Equip!$A:$N,13,FALSE),0)&gt;=5,IFERROR(VLOOKUP(AK557,Equip!$A:$N,13,FALSE),0)&lt;=9),INT(VLOOKUP(AK557,Equip!$A:$N,6,FALSE)*SQRT(AO557)),0)</f>
        <v>0</v>
      </c>
      <c r="AU557">
        <f>IF(AND(IFERROR(VLOOKUP(AL557,Equip!$A:$N,13,FALSE),0)&gt;=5,IFERROR(VLOOKUP(AL557,Equip!$A:$N,13,FALSE),0)&lt;=9),INT(VLOOKUP(AL557,Equip!$A:$N,6,FALSE)*SQRT(AP557)),0)</f>
        <v>0</v>
      </c>
      <c r="AV557">
        <f>IF(AND(IFERROR(VLOOKUP(AM557,Equip!$A:$N,13,FALSE),0)&gt;=5,IFERROR(VLOOKUP(AM557,Equip!$A:$N,13,FALSE),0)&lt;=9),INT(VLOOKUP(AM557,Equip!$A:$N,6,FALSE)*SQRT(AQ557)),0)</f>
        <v>0</v>
      </c>
      <c r="AW557">
        <f t="shared" si="1560"/>
        <v>0</v>
      </c>
      <c r="AX557">
        <f t="shared" si="1561"/>
        <v>900</v>
      </c>
    </row>
    <row r="558" spans="1:50">
      <c r="A558">
        <v>591</v>
      </c>
      <c r="B558" t="s">
        <v>973</v>
      </c>
      <c r="C558" t="s">
        <v>973</v>
      </c>
      <c r="D558">
        <v>0</v>
      </c>
      <c r="E558">
        <v>0</v>
      </c>
      <c r="F558">
        <v>0</v>
      </c>
      <c r="G558">
        <v>591</v>
      </c>
      <c r="H558">
        <v>0</v>
      </c>
      <c r="I558">
        <v>0</v>
      </c>
      <c r="J558">
        <v>0</v>
      </c>
      <c r="K558">
        <v>2</v>
      </c>
      <c r="L558">
        <v>2</v>
      </c>
      <c r="M558">
        <v>48</v>
      </c>
      <c r="N558">
        <v>48</v>
      </c>
      <c r="O558">
        <v>58</v>
      </c>
      <c r="P558">
        <v>55</v>
      </c>
      <c r="Q558">
        <v>84</v>
      </c>
      <c r="R558">
        <v>69</v>
      </c>
      <c r="S558">
        <v>88</v>
      </c>
      <c r="T558">
        <v>96</v>
      </c>
      <c r="U558">
        <v>10</v>
      </c>
      <c r="V558">
        <v>48</v>
      </c>
      <c r="W558">
        <v>2</v>
      </c>
      <c r="X558">
        <v>55</v>
      </c>
      <c r="Y558">
        <v>0</v>
      </c>
      <c r="Z558">
        <v>0</v>
      </c>
      <c r="AA558">
        <v>0</v>
      </c>
      <c r="AB558">
        <v>58</v>
      </c>
      <c r="AC558">
        <v>84</v>
      </c>
      <c r="AD558">
        <v>88</v>
      </c>
      <c r="AE558">
        <v>55</v>
      </c>
      <c r="AF558">
        <v>55</v>
      </c>
      <c r="AG558">
        <v>69</v>
      </c>
      <c r="AH558">
        <v>96</v>
      </c>
      <c r="AI558">
        <v>48</v>
      </c>
      <c r="AJ558">
        <v>550</v>
      </c>
      <c r="AK558">
        <v>550</v>
      </c>
      <c r="AL558">
        <v>545</v>
      </c>
      <c r="AM558">
        <v>525</v>
      </c>
      <c r="AN558">
        <v>0</v>
      </c>
      <c r="AO558">
        <v>0</v>
      </c>
      <c r="AP558">
        <v>3</v>
      </c>
      <c r="AQ558">
        <v>3</v>
      </c>
      <c r="AR558">
        <f t="shared" si="1562"/>
        <v>6</v>
      </c>
      <c r="AS558">
        <f>IF(AND(IFERROR(VLOOKUP(AJ558,Equip!$A:$N,13,FALSE),0)&gt;=5,IFERROR(VLOOKUP(AJ558,Equip!$A:$N,13,FALSE),0)&lt;=9),INT(VLOOKUP(AJ558,Equip!$A:$N,6,FALSE)*SQRT(AN558)),0)</f>
        <v>0</v>
      </c>
      <c r="AT558">
        <f>IF(AND(IFERROR(VLOOKUP(AK558,Equip!$A:$N,13,FALSE),0)&gt;=5,IFERROR(VLOOKUP(AK558,Equip!$A:$N,13,FALSE),0)&lt;=9),INT(VLOOKUP(AK558,Equip!$A:$N,6,FALSE)*SQRT(AO558)),0)</f>
        <v>0</v>
      </c>
      <c r="AU558">
        <f>IF(AND(IFERROR(VLOOKUP(AL558,Equip!$A:$N,13,FALSE),0)&gt;=5,IFERROR(VLOOKUP(AL558,Equip!$A:$N,13,FALSE),0)&lt;=9),INT(VLOOKUP(AL558,Equip!$A:$N,6,FALSE)*SQRT(AP558)),0)</f>
        <v>0</v>
      </c>
      <c r="AV558">
        <f>IF(AND(IFERROR(VLOOKUP(AM558,Equip!$A:$N,13,FALSE),0)&gt;=5,IFERROR(VLOOKUP(AM558,Equip!$A:$N,13,FALSE),0)&lt;=9),INT(VLOOKUP(AM558,Equip!$A:$N,6,FALSE)*SQRT(AQ558)),0)</f>
        <v>0</v>
      </c>
      <c r="AW558">
        <f t="shared" si="1560"/>
        <v>0</v>
      </c>
      <c r="AX558">
        <f t="shared" si="1561"/>
        <v>546</v>
      </c>
    </row>
    <row r="559" spans="1:50">
      <c r="A559">
        <v>592</v>
      </c>
      <c r="B559" t="s">
        <v>1254</v>
      </c>
      <c r="C559" t="s">
        <v>1254</v>
      </c>
      <c r="D559">
        <v>0</v>
      </c>
      <c r="E559">
        <v>0</v>
      </c>
      <c r="F559">
        <v>0</v>
      </c>
      <c r="G559">
        <v>591</v>
      </c>
      <c r="H559">
        <v>0</v>
      </c>
      <c r="I559">
        <v>0</v>
      </c>
      <c r="J559">
        <v>0</v>
      </c>
      <c r="K559">
        <v>2</v>
      </c>
      <c r="L559">
        <v>2</v>
      </c>
      <c r="M559">
        <v>66</v>
      </c>
      <c r="N559">
        <v>66</v>
      </c>
      <c r="O559">
        <v>64</v>
      </c>
      <c r="P559">
        <v>68</v>
      </c>
      <c r="Q559">
        <v>92</v>
      </c>
      <c r="R559">
        <v>74</v>
      </c>
      <c r="S559">
        <v>96</v>
      </c>
      <c r="T559">
        <v>98</v>
      </c>
      <c r="U559">
        <v>10</v>
      </c>
      <c r="V559">
        <v>58</v>
      </c>
      <c r="W559">
        <v>2</v>
      </c>
      <c r="X559">
        <v>66</v>
      </c>
      <c r="Y559">
        <v>5</v>
      </c>
      <c r="Z559">
        <v>0</v>
      </c>
      <c r="AA559">
        <v>0</v>
      </c>
      <c r="AB559">
        <v>64</v>
      </c>
      <c r="AC559">
        <v>92</v>
      </c>
      <c r="AD559">
        <v>96</v>
      </c>
      <c r="AE559">
        <v>68</v>
      </c>
      <c r="AF559">
        <v>66</v>
      </c>
      <c r="AG559">
        <v>74</v>
      </c>
      <c r="AH559">
        <v>98</v>
      </c>
      <c r="AI559">
        <v>58</v>
      </c>
      <c r="AJ559">
        <v>550</v>
      </c>
      <c r="AK559">
        <v>550</v>
      </c>
      <c r="AL559">
        <v>545</v>
      </c>
      <c r="AM559">
        <v>525</v>
      </c>
      <c r="AN559">
        <v>0</v>
      </c>
      <c r="AO559">
        <v>0</v>
      </c>
      <c r="AP559">
        <v>3</v>
      </c>
      <c r="AQ559">
        <v>3</v>
      </c>
      <c r="AR559">
        <f t="shared" si="1562"/>
        <v>6</v>
      </c>
      <c r="AS559">
        <f>IF(AND(IFERROR(VLOOKUP(AJ559,Equip!$A:$N,13,FALSE),0)&gt;=5,IFERROR(VLOOKUP(AJ559,Equip!$A:$N,13,FALSE),0)&lt;=9),INT(VLOOKUP(AJ559,Equip!$A:$N,6,FALSE)*SQRT(AN559)),0)</f>
        <v>0</v>
      </c>
      <c r="AT559">
        <f>IF(AND(IFERROR(VLOOKUP(AK559,Equip!$A:$N,13,FALSE),0)&gt;=5,IFERROR(VLOOKUP(AK559,Equip!$A:$N,13,FALSE),0)&lt;=9),INT(VLOOKUP(AK559,Equip!$A:$N,6,FALSE)*SQRT(AO559)),0)</f>
        <v>0</v>
      </c>
      <c r="AU559">
        <f>IF(AND(IFERROR(VLOOKUP(AL559,Equip!$A:$N,13,FALSE),0)&gt;=5,IFERROR(VLOOKUP(AL559,Equip!$A:$N,13,FALSE),0)&lt;=9),INT(VLOOKUP(AL559,Equip!$A:$N,6,FALSE)*SQRT(AP559)),0)</f>
        <v>0</v>
      </c>
      <c r="AV559">
        <f>IF(AND(IFERROR(VLOOKUP(AM559,Equip!$A:$N,13,FALSE),0)&gt;=5,IFERROR(VLOOKUP(AM559,Equip!$A:$N,13,FALSE),0)&lt;=9),INT(VLOOKUP(AM559,Equip!$A:$N,6,FALSE)*SQRT(AQ559)),0)</f>
        <v>0</v>
      </c>
      <c r="AW559">
        <f t="shared" si="1560"/>
        <v>0</v>
      </c>
      <c r="AX559">
        <f t="shared" si="1561"/>
        <v>616</v>
      </c>
    </row>
    <row r="560" spans="1:50">
      <c r="A560">
        <v>594</v>
      </c>
      <c r="B560" t="s">
        <v>974</v>
      </c>
      <c r="C560" t="s">
        <v>974</v>
      </c>
      <c r="D560">
        <v>0</v>
      </c>
      <c r="E560">
        <v>0</v>
      </c>
      <c r="F560">
        <v>0</v>
      </c>
      <c r="G560">
        <v>594</v>
      </c>
      <c r="H560">
        <v>0</v>
      </c>
      <c r="I560">
        <v>0</v>
      </c>
      <c r="J560">
        <v>0</v>
      </c>
      <c r="K560">
        <v>3</v>
      </c>
      <c r="L560">
        <v>4</v>
      </c>
      <c r="M560">
        <v>80</v>
      </c>
      <c r="N560">
        <v>80</v>
      </c>
      <c r="O560">
        <v>73</v>
      </c>
      <c r="P560">
        <v>82</v>
      </c>
      <c r="Q560">
        <v>66</v>
      </c>
      <c r="R560">
        <v>60</v>
      </c>
      <c r="S560">
        <v>72</v>
      </c>
      <c r="T560">
        <v>0</v>
      </c>
      <c r="U560">
        <v>10</v>
      </c>
      <c r="V560">
        <v>40</v>
      </c>
      <c r="W560">
        <v>2</v>
      </c>
      <c r="X560">
        <v>60</v>
      </c>
      <c r="Y560">
        <v>0</v>
      </c>
      <c r="Z560">
        <v>0</v>
      </c>
      <c r="AA560">
        <v>0</v>
      </c>
      <c r="AB560">
        <v>73</v>
      </c>
      <c r="AC560">
        <v>66</v>
      </c>
      <c r="AD560">
        <v>72</v>
      </c>
      <c r="AE560">
        <v>82</v>
      </c>
      <c r="AF560">
        <v>60</v>
      </c>
      <c r="AG560">
        <v>60</v>
      </c>
      <c r="AH560">
        <v>0</v>
      </c>
      <c r="AI560">
        <v>40</v>
      </c>
      <c r="AJ560">
        <v>505</v>
      </c>
      <c r="AK560">
        <v>505</v>
      </c>
      <c r="AL560">
        <v>515</v>
      </c>
      <c r="AM560">
        <v>525</v>
      </c>
      <c r="AN560">
        <v>0</v>
      </c>
      <c r="AO560">
        <v>0</v>
      </c>
      <c r="AP560">
        <v>0</v>
      </c>
      <c r="AQ560">
        <v>4</v>
      </c>
      <c r="AR560">
        <f t="shared" si="1562"/>
        <v>4</v>
      </c>
      <c r="AS560">
        <f>IF(AND(IFERROR(VLOOKUP(AJ560,Equip!$A:$N,13,FALSE),0)&gt;=5,IFERROR(VLOOKUP(AJ560,Equip!$A:$N,13,FALSE),0)&lt;=9),INT(VLOOKUP(AJ560,Equip!$A:$N,6,FALSE)*SQRT(AN560)),0)</f>
        <v>0</v>
      </c>
      <c r="AT560">
        <f>IF(AND(IFERROR(VLOOKUP(AK560,Equip!$A:$N,13,FALSE),0)&gt;=5,IFERROR(VLOOKUP(AK560,Equip!$A:$N,13,FALSE),0)&lt;=9),INT(VLOOKUP(AK560,Equip!$A:$N,6,FALSE)*SQRT(AO560)),0)</f>
        <v>0</v>
      </c>
      <c r="AU560">
        <f>IF(AND(IFERROR(VLOOKUP(AL560,Equip!$A:$N,13,FALSE),0)&gt;=5,IFERROR(VLOOKUP(AL560,Equip!$A:$N,13,FALSE),0)&lt;=9),INT(VLOOKUP(AL560,Equip!$A:$N,6,FALSE)*SQRT(AP560)),0)</f>
        <v>0</v>
      </c>
      <c r="AV560">
        <f>IF(AND(IFERROR(VLOOKUP(AM560,Equip!$A:$N,13,FALSE),0)&gt;=5,IFERROR(VLOOKUP(AM560,Equip!$A:$N,13,FALSE),0)&lt;=9),INT(VLOOKUP(AM560,Equip!$A:$N,6,FALSE)*SQRT(AQ560)),0)</f>
        <v>0</v>
      </c>
      <c r="AW560">
        <f t="shared" si="1560"/>
        <v>0</v>
      </c>
      <c r="AX560">
        <f t="shared" si="1561"/>
        <v>473</v>
      </c>
    </row>
    <row r="561" spans="1:50">
      <c r="A561">
        <v>595</v>
      </c>
      <c r="B561" t="s">
        <v>975</v>
      </c>
      <c r="C561" t="s">
        <v>975</v>
      </c>
      <c r="D561">
        <v>0</v>
      </c>
      <c r="E561">
        <v>0</v>
      </c>
      <c r="F561">
        <v>0</v>
      </c>
      <c r="G561">
        <v>594</v>
      </c>
      <c r="H561">
        <v>0</v>
      </c>
      <c r="I561">
        <v>0</v>
      </c>
      <c r="J561">
        <v>0</v>
      </c>
      <c r="K561">
        <v>3</v>
      </c>
      <c r="L561">
        <v>4</v>
      </c>
      <c r="M561">
        <v>88</v>
      </c>
      <c r="N561">
        <v>88</v>
      </c>
      <c r="O561">
        <v>79</v>
      </c>
      <c r="P561">
        <v>89</v>
      </c>
      <c r="Q561">
        <v>74</v>
      </c>
      <c r="R561">
        <v>68</v>
      </c>
      <c r="S561">
        <v>79</v>
      </c>
      <c r="T561">
        <v>0</v>
      </c>
      <c r="U561">
        <v>10</v>
      </c>
      <c r="V561">
        <v>48</v>
      </c>
      <c r="W561">
        <v>2</v>
      </c>
      <c r="X561">
        <v>70</v>
      </c>
      <c r="Y561">
        <v>5</v>
      </c>
      <c r="Z561">
        <v>0</v>
      </c>
      <c r="AA561">
        <v>0</v>
      </c>
      <c r="AB561">
        <v>79</v>
      </c>
      <c r="AC561">
        <v>74</v>
      </c>
      <c r="AD561">
        <v>79</v>
      </c>
      <c r="AE561">
        <v>89</v>
      </c>
      <c r="AF561">
        <v>70</v>
      </c>
      <c r="AG561">
        <v>68</v>
      </c>
      <c r="AH561">
        <v>0</v>
      </c>
      <c r="AI561">
        <v>48</v>
      </c>
      <c r="AJ561">
        <v>505</v>
      </c>
      <c r="AK561">
        <v>505</v>
      </c>
      <c r="AL561">
        <v>515</v>
      </c>
      <c r="AM561">
        <v>525</v>
      </c>
      <c r="AN561">
        <v>0</v>
      </c>
      <c r="AO561">
        <v>0</v>
      </c>
      <c r="AP561">
        <v>0</v>
      </c>
      <c r="AQ561">
        <v>4</v>
      </c>
      <c r="AR561">
        <f t="shared" si="1562"/>
        <v>4</v>
      </c>
      <c r="AS561">
        <f>IF(AND(IFERROR(VLOOKUP(AJ561,Equip!$A:$N,13,FALSE),0)&gt;=5,IFERROR(VLOOKUP(AJ561,Equip!$A:$N,13,FALSE),0)&lt;=9),INT(VLOOKUP(AJ561,Equip!$A:$N,6,FALSE)*SQRT(AN561)),0)</f>
        <v>0</v>
      </c>
      <c r="AT561">
        <f>IF(AND(IFERROR(VLOOKUP(AK561,Equip!$A:$N,13,FALSE),0)&gt;=5,IFERROR(VLOOKUP(AK561,Equip!$A:$N,13,FALSE),0)&lt;=9),INT(VLOOKUP(AK561,Equip!$A:$N,6,FALSE)*SQRT(AO561)),0)</f>
        <v>0</v>
      </c>
      <c r="AU561">
        <f>IF(AND(IFERROR(VLOOKUP(AL561,Equip!$A:$N,13,FALSE),0)&gt;=5,IFERROR(VLOOKUP(AL561,Equip!$A:$N,13,FALSE),0)&lt;=9),INT(VLOOKUP(AL561,Equip!$A:$N,6,FALSE)*SQRT(AP561)),0)</f>
        <v>0</v>
      </c>
      <c r="AV561">
        <f>IF(AND(IFERROR(VLOOKUP(AM561,Equip!$A:$N,13,FALSE),0)&gt;=5,IFERROR(VLOOKUP(AM561,Equip!$A:$N,13,FALSE),0)&lt;=9),INT(VLOOKUP(AM561,Equip!$A:$N,6,FALSE)*SQRT(AQ561)),0)</f>
        <v>0</v>
      </c>
      <c r="AW561">
        <f t="shared" si="1560"/>
        <v>0</v>
      </c>
      <c r="AX561">
        <f t="shared" si="1561"/>
        <v>525</v>
      </c>
    </row>
    <row r="562" spans="1:50">
      <c r="A562">
        <v>597</v>
      </c>
      <c r="B562" t="s">
        <v>976</v>
      </c>
      <c r="C562" t="s">
        <v>976</v>
      </c>
      <c r="D562">
        <v>0</v>
      </c>
      <c r="E562">
        <v>1320</v>
      </c>
      <c r="F562">
        <v>760</v>
      </c>
      <c r="G562">
        <v>597</v>
      </c>
      <c r="H562">
        <v>1</v>
      </c>
      <c r="I562">
        <v>0</v>
      </c>
      <c r="J562">
        <v>5</v>
      </c>
      <c r="K562">
        <v>1</v>
      </c>
      <c r="L562">
        <v>1</v>
      </c>
      <c r="M562">
        <v>150</v>
      </c>
      <c r="N562">
        <v>150</v>
      </c>
      <c r="O562">
        <v>59</v>
      </c>
      <c r="P562">
        <v>100</v>
      </c>
      <c r="Q562">
        <v>90</v>
      </c>
      <c r="R562">
        <v>55</v>
      </c>
      <c r="S562">
        <v>60</v>
      </c>
      <c r="T562">
        <v>98</v>
      </c>
      <c r="U562">
        <v>10</v>
      </c>
      <c r="V562">
        <v>70</v>
      </c>
      <c r="W562">
        <v>1</v>
      </c>
      <c r="X562">
        <v>70</v>
      </c>
      <c r="Y562">
        <v>15</v>
      </c>
      <c r="Z562">
        <v>40</v>
      </c>
      <c r="AA562">
        <v>45</v>
      </c>
      <c r="AB562">
        <v>59</v>
      </c>
      <c r="AC562">
        <v>90</v>
      </c>
      <c r="AD562">
        <v>60</v>
      </c>
      <c r="AE562">
        <v>100</v>
      </c>
      <c r="AF562">
        <v>70</v>
      </c>
      <c r="AG562">
        <v>55</v>
      </c>
      <c r="AH562">
        <v>98</v>
      </c>
      <c r="AI562">
        <v>70</v>
      </c>
      <c r="AJ562">
        <v>502</v>
      </c>
      <c r="AK562">
        <v>502</v>
      </c>
      <c r="AL562">
        <v>515</v>
      </c>
      <c r="AM562">
        <v>0</v>
      </c>
      <c r="AN562">
        <v>0</v>
      </c>
      <c r="AO562">
        <v>0</v>
      </c>
      <c r="AP562">
        <v>0</v>
      </c>
      <c r="AQ562">
        <v>0</v>
      </c>
      <c r="AR562">
        <f t="shared" si="1562"/>
        <v>0</v>
      </c>
      <c r="AS562">
        <f>IF(AND(IFERROR(VLOOKUP(AJ562,Equip!$A:$N,13,FALSE),0)&gt;=5,IFERROR(VLOOKUP(AJ562,Equip!$A:$N,13,FALSE),0)&lt;=9),INT(VLOOKUP(AJ562,Equip!$A:$N,6,FALSE)*SQRT(AN562)),0)</f>
        <v>0</v>
      </c>
      <c r="AT562">
        <f>IF(AND(IFERROR(VLOOKUP(AK562,Equip!$A:$N,13,FALSE),0)&gt;=5,IFERROR(VLOOKUP(AK562,Equip!$A:$N,13,FALSE),0)&lt;=9),INT(VLOOKUP(AK562,Equip!$A:$N,6,FALSE)*SQRT(AO562)),0)</f>
        <v>0</v>
      </c>
      <c r="AU562">
        <f>IF(AND(IFERROR(VLOOKUP(AL562,Equip!$A:$N,13,FALSE),0)&gt;=5,IFERROR(VLOOKUP(AL562,Equip!$A:$N,13,FALSE),0)&lt;=9),INT(VLOOKUP(AL562,Equip!$A:$N,6,FALSE)*SQRT(AP562)),0)</f>
        <v>0</v>
      </c>
      <c r="AV562">
        <f>IF(AND(IFERROR(VLOOKUP(AM562,Equip!$A:$N,13,FALSE),0)&gt;=5,IFERROR(VLOOKUP(AM562,Equip!$A:$N,13,FALSE),0)&lt;=9),INT(VLOOKUP(AM562,Equip!$A:$N,6,FALSE)*SQRT(AQ562)),0)</f>
        <v>0</v>
      </c>
      <c r="AW562">
        <f t="shared" si="1560"/>
        <v>0</v>
      </c>
      <c r="AX562">
        <f t="shared" si="1561"/>
        <v>682</v>
      </c>
    </row>
    <row r="563" spans="1:50">
      <c r="A563">
        <v>598</v>
      </c>
      <c r="B563" t="s">
        <v>976</v>
      </c>
      <c r="C563" t="s">
        <v>976</v>
      </c>
      <c r="D563">
        <v>0</v>
      </c>
      <c r="E563">
        <v>1320</v>
      </c>
      <c r="F563">
        <v>760</v>
      </c>
      <c r="G563">
        <v>597</v>
      </c>
      <c r="H563">
        <v>1</v>
      </c>
      <c r="I563">
        <v>0</v>
      </c>
      <c r="J563">
        <v>5</v>
      </c>
      <c r="K563">
        <v>1</v>
      </c>
      <c r="L563">
        <v>1</v>
      </c>
      <c r="M563">
        <v>190</v>
      </c>
      <c r="N563">
        <v>190</v>
      </c>
      <c r="O563">
        <v>69</v>
      </c>
      <c r="P563">
        <v>115</v>
      </c>
      <c r="Q563">
        <v>90</v>
      </c>
      <c r="R563">
        <v>70</v>
      </c>
      <c r="S563">
        <v>60</v>
      </c>
      <c r="T563">
        <v>98</v>
      </c>
      <c r="U563">
        <v>10</v>
      </c>
      <c r="V563">
        <v>70</v>
      </c>
      <c r="W563">
        <v>1</v>
      </c>
      <c r="X563">
        <v>80</v>
      </c>
      <c r="Y563">
        <v>20</v>
      </c>
      <c r="Z563">
        <v>40</v>
      </c>
      <c r="AA563">
        <v>45</v>
      </c>
      <c r="AB563">
        <v>69</v>
      </c>
      <c r="AC563">
        <v>90</v>
      </c>
      <c r="AD563">
        <v>60</v>
      </c>
      <c r="AE563">
        <v>115</v>
      </c>
      <c r="AF563">
        <v>80</v>
      </c>
      <c r="AG563">
        <v>70</v>
      </c>
      <c r="AH563">
        <v>98</v>
      </c>
      <c r="AI563">
        <v>70</v>
      </c>
      <c r="AJ563">
        <v>502</v>
      </c>
      <c r="AK563">
        <v>502</v>
      </c>
      <c r="AL563">
        <v>515</v>
      </c>
      <c r="AM563">
        <v>0</v>
      </c>
      <c r="AN563">
        <v>0</v>
      </c>
      <c r="AO563">
        <v>0</v>
      </c>
      <c r="AP563">
        <v>0</v>
      </c>
      <c r="AQ563">
        <v>0</v>
      </c>
      <c r="AR563">
        <f t="shared" si="1562"/>
        <v>0</v>
      </c>
      <c r="AS563">
        <f>IF(AND(IFERROR(VLOOKUP(AJ563,Equip!$A:$N,13,FALSE),0)&gt;=5,IFERROR(VLOOKUP(AJ563,Equip!$A:$N,13,FALSE),0)&lt;=9),INT(VLOOKUP(AJ563,Equip!$A:$N,6,FALSE)*SQRT(AN563)),0)</f>
        <v>0</v>
      </c>
      <c r="AT563">
        <f>IF(AND(IFERROR(VLOOKUP(AK563,Equip!$A:$N,13,FALSE),0)&gt;=5,IFERROR(VLOOKUP(AK563,Equip!$A:$N,13,FALSE),0)&lt;=9),INT(VLOOKUP(AK563,Equip!$A:$N,6,FALSE)*SQRT(AO563)),0)</f>
        <v>0</v>
      </c>
      <c r="AU563">
        <f>IF(AND(IFERROR(VLOOKUP(AL563,Equip!$A:$N,13,FALSE),0)&gt;=5,IFERROR(VLOOKUP(AL563,Equip!$A:$N,13,FALSE),0)&lt;=9),INT(VLOOKUP(AL563,Equip!$A:$N,6,FALSE)*SQRT(AP563)),0)</f>
        <v>0</v>
      </c>
      <c r="AV563">
        <f>IF(AND(IFERROR(VLOOKUP(AM563,Equip!$A:$N,13,FALSE),0)&gt;=5,IFERROR(VLOOKUP(AM563,Equip!$A:$N,13,FALSE),0)&lt;=9),INT(VLOOKUP(AM563,Equip!$A:$N,6,FALSE)*SQRT(AQ563)),0)</f>
        <v>0</v>
      </c>
      <c r="AW563">
        <f t="shared" si="1560"/>
        <v>0</v>
      </c>
      <c r="AX563">
        <f t="shared" si="1561"/>
        <v>762</v>
      </c>
    </row>
    <row r="564" spans="1:50">
      <c r="A564">
        <v>599</v>
      </c>
      <c r="B564" t="s">
        <v>977</v>
      </c>
      <c r="C564" t="s">
        <v>977</v>
      </c>
      <c r="D564">
        <v>0</v>
      </c>
      <c r="E564">
        <v>0</v>
      </c>
      <c r="F564">
        <v>0</v>
      </c>
      <c r="G564">
        <v>599</v>
      </c>
      <c r="H564">
        <v>0</v>
      </c>
      <c r="I564">
        <v>0</v>
      </c>
      <c r="J564">
        <v>0</v>
      </c>
      <c r="K564">
        <v>12</v>
      </c>
      <c r="L564">
        <v>4</v>
      </c>
      <c r="M564">
        <v>370</v>
      </c>
      <c r="N564">
        <v>370</v>
      </c>
      <c r="O564">
        <v>140</v>
      </c>
      <c r="P564">
        <v>170</v>
      </c>
      <c r="Q564">
        <v>0</v>
      </c>
      <c r="R564">
        <v>60</v>
      </c>
      <c r="S564">
        <v>110</v>
      </c>
      <c r="T564">
        <v>0</v>
      </c>
      <c r="U564">
        <v>10</v>
      </c>
      <c r="V564">
        <v>80</v>
      </c>
      <c r="W564">
        <v>3</v>
      </c>
      <c r="X564">
        <v>70</v>
      </c>
      <c r="Y564">
        <v>15</v>
      </c>
      <c r="Z564">
        <v>0</v>
      </c>
      <c r="AA564">
        <v>0</v>
      </c>
      <c r="AB564">
        <v>140</v>
      </c>
      <c r="AC564">
        <v>0</v>
      </c>
      <c r="AD564">
        <v>110</v>
      </c>
      <c r="AE564">
        <v>170</v>
      </c>
      <c r="AF564">
        <v>70</v>
      </c>
      <c r="AG564">
        <v>60</v>
      </c>
      <c r="AH564">
        <v>0</v>
      </c>
      <c r="AI564">
        <v>80</v>
      </c>
      <c r="AJ564">
        <v>547</v>
      </c>
      <c r="AK564">
        <v>548</v>
      </c>
      <c r="AL564">
        <v>549</v>
      </c>
      <c r="AM564">
        <v>532</v>
      </c>
      <c r="AN564">
        <v>66</v>
      </c>
      <c r="AO564">
        <v>60</v>
      </c>
      <c r="AP564">
        <v>60</v>
      </c>
      <c r="AQ564">
        <v>0</v>
      </c>
      <c r="AR564">
        <f t="shared" si="1562"/>
        <v>186</v>
      </c>
      <c r="AS564">
        <f>IF(AND(IFERROR(VLOOKUP(AJ564,Equip!$A:$N,13,FALSE),0)&gt;=5,IFERROR(VLOOKUP(AJ564,Equip!$A:$N,13,FALSE),0)&lt;=9),INT(VLOOKUP(AJ564,Equip!$A:$N,6,FALSE)*SQRT(AN564)),0)</f>
        <v>0</v>
      </c>
      <c r="AT564">
        <f>IF(AND(IFERROR(VLOOKUP(AK564,Equip!$A:$N,13,FALSE),0)&gt;=5,IFERROR(VLOOKUP(AK564,Equip!$A:$N,13,FALSE),0)&lt;=9),INT(VLOOKUP(AK564,Equip!$A:$N,6,FALSE)*SQRT(AO564)),0)</f>
        <v>0</v>
      </c>
      <c r="AU564">
        <f>IF(AND(IFERROR(VLOOKUP(AL564,Equip!$A:$N,13,FALSE),0)&gt;=5,IFERROR(VLOOKUP(AL564,Equip!$A:$N,13,FALSE),0)&lt;=9),INT(VLOOKUP(AL564,Equip!$A:$N,6,FALSE)*SQRT(AP564)),0)</f>
        <v>0</v>
      </c>
      <c r="AV564">
        <f>IF(AND(IFERROR(VLOOKUP(AM564,Equip!$A:$N,13,FALSE),0)&gt;=5,IFERROR(VLOOKUP(AM564,Equip!$A:$N,13,FALSE),0)&lt;=9),INT(VLOOKUP(AM564,Equip!$A:$N,6,FALSE)*SQRT(AQ564)),0)</f>
        <v>0</v>
      </c>
      <c r="AW564">
        <f t="shared" si="1560"/>
        <v>0</v>
      </c>
      <c r="AX564">
        <f t="shared" si="1561"/>
        <v>930</v>
      </c>
    </row>
    <row r="565" spans="1:50">
      <c r="A565">
        <v>600</v>
      </c>
      <c r="B565" t="s">
        <v>977</v>
      </c>
      <c r="C565" t="s">
        <v>977</v>
      </c>
      <c r="D565">
        <v>0</v>
      </c>
      <c r="E565">
        <v>0</v>
      </c>
      <c r="F565">
        <v>0</v>
      </c>
      <c r="G565">
        <v>599</v>
      </c>
      <c r="H565">
        <v>0</v>
      </c>
      <c r="I565">
        <v>0</v>
      </c>
      <c r="J565">
        <v>0</v>
      </c>
      <c r="K565">
        <v>12</v>
      </c>
      <c r="L565">
        <v>4</v>
      </c>
      <c r="M565">
        <v>390</v>
      </c>
      <c r="N565">
        <v>390</v>
      </c>
      <c r="O565">
        <v>190</v>
      </c>
      <c r="P565">
        <v>190</v>
      </c>
      <c r="Q565">
        <v>0</v>
      </c>
      <c r="R565">
        <v>69</v>
      </c>
      <c r="S565">
        <v>140</v>
      </c>
      <c r="T565">
        <v>0</v>
      </c>
      <c r="U565">
        <v>10</v>
      </c>
      <c r="V565">
        <v>100</v>
      </c>
      <c r="W565">
        <v>3</v>
      </c>
      <c r="X565">
        <v>70</v>
      </c>
      <c r="Y565">
        <v>20</v>
      </c>
      <c r="Z565">
        <v>0</v>
      </c>
      <c r="AA565">
        <v>0</v>
      </c>
      <c r="AB565">
        <v>190</v>
      </c>
      <c r="AC565">
        <v>0</v>
      </c>
      <c r="AD565">
        <v>140</v>
      </c>
      <c r="AE565">
        <v>190</v>
      </c>
      <c r="AF565">
        <v>70</v>
      </c>
      <c r="AG565">
        <v>69</v>
      </c>
      <c r="AH565">
        <v>0</v>
      </c>
      <c r="AI565">
        <v>100</v>
      </c>
      <c r="AJ565">
        <v>547</v>
      </c>
      <c r="AK565">
        <v>548</v>
      </c>
      <c r="AL565">
        <v>549</v>
      </c>
      <c r="AM565">
        <v>532</v>
      </c>
      <c r="AN565">
        <v>66</v>
      </c>
      <c r="AO565">
        <v>60</v>
      </c>
      <c r="AP565">
        <v>60</v>
      </c>
      <c r="AQ565">
        <v>0</v>
      </c>
      <c r="AR565">
        <f t="shared" si="1562"/>
        <v>186</v>
      </c>
      <c r="AS565">
        <f>IF(AND(IFERROR(VLOOKUP(AJ565,Equip!$A:$N,13,FALSE),0)&gt;=5,IFERROR(VLOOKUP(AJ565,Equip!$A:$N,13,FALSE),0)&lt;=9),INT(VLOOKUP(AJ565,Equip!$A:$N,6,FALSE)*SQRT(AN565)),0)</f>
        <v>0</v>
      </c>
      <c r="AT565">
        <f>IF(AND(IFERROR(VLOOKUP(AK565,Equip!$A:$N,13,FALSE),0)&gt;=5,IFERROR(VLOOKUP(AK565,Equip!$A:$N,13,FALSE),0)&lt;=9),INT(VLOOKUP(AK565,Equip!$A:$N,6,FALSE)*SQRT(AO565)),0)</f>
        <v>0</v>
      </c>
      <c r="AU565">
        <f>IF(AND(IFERROR(VLOOKUP(AL565,Equip!$A:$N,13,FALSE),0)&gt;=5,IFERROR(VLOOKUP(AL565,Equip!$A:$N,13,FALSE),0)&lt;=9),INT(VLOOKUP(AL565,Equip!$A:$N,6,FALSE)*SQRT(AP565)),0)</f>
        <v>0</v>
      </c>
      <c r="AV565">
        <f>IF(AND(IFERROR(VLOOKUP(AM565,Equip!$A:$N,13,FALSE),0)&gt;=5,IFERROR(VLOOKUP(AM565,Equip!$A:$N,13,FALSE),0)&lt;=9),INT(VLOOKUP(AM565,Equip!$A:$N,6,FALSE)*SQRT(AQ565)),0)</f>
        <v>0</v>
      </c>
      <c r="AW565">
        <f t="shared" si="1560"/>
        <v>0</v>
      </c>
      <c r="AX565">
        <f t="shared" si="1561"/>
        <v>1079</v>
      </c>
    </row>
    <row r="566" spans="1:50">
      <c r="A566">
        <v>601</v>
      </c>
      <c r="B566" t="s">
        <v>978</v>
      </c>
      <c r="C566" t="s">
        <v>978</v>
      </c>
      <c r="D566">
        <v>0</v>
      </c>
      <c r="E566">
        <v>0</v>
      </c>
      <c r="F566">
        <v>0</v>
      </c>
      <c r="G566">
        <v>601</v>
      </c>
      <c r="H566">
        <v>0</v>
      </c>
      <c r="I566">
        <v>0</v>
      </c>
      <c r="J566">
        <v>0</v>
      </c>
      <c r="K566">
        <v>2</v>
      </c>
      <c r="L566">
        <v>2</v>
      </c>
      <c r="M566">
        <v>210</v>
      </c>
      <c r="N566">
        <v>210</v>
      </c>
      <c r="O566">
        <v>59</v>
      </c>
      <c r="P566">
        <v>135</v>
      </c>
      <c r="Q566">
        <v>88</v>
      </c>
      <c r="R566">
        <v>52</v>
      </c>
      <c r="S566">
        <v>60</v>
      </c>
      <c r="T566">
        <v>98</v>
      </c>
      <c r="U566">
        <v>10</v>
      </c>
      <c r="V566">
        <v>70</v>
      </c>
      <c r="W566">
        <v>2</v>
      </c>
      <c r="X566">
        <v>70</v>
      </c>
      <c r="Y566">
        <v>15</v>
      </c>
      <c r="Z566">
        <v>0</v>
      </c>
      <c r="AA566">
        <v>0</v>
      </c>
      <c r="AB566">
        <v>59</v>
      </c>
      <c r="AC566">
        <v>88</v>
      </c>
      <c r="AD566">
        <v>60</v>
      </c>
      <c r="AE566">
        <v>135</v>
      </c>
      <c r="AF566">
        <v>70</v>
      </c>
      <c r="AG566">
        <v>52</v>
      </c>
      <c r="AH566">
        <v>98</v>
      </c>
      <c r="AI566">
        <v>70</v>
      </c>
      <c r="AJ566">
        <v>506</v>
      </c>
      <c r="AK566">
        <v>506</v>
      </c>
      <c r="AL566">
        <v>529</v>
      </c>
      <c r="AM566">
        <v>525</v>
      </c>
      <c r="AN566">
        <v>0</v>
      </c>
      <c r="AO566">
        <v>0</v>
      </c>
      <c r="AP566">
        <v>0</v>
      </c>
      <c r="AQ566">
        <v>3</v>
      </c>
      <c r="AR566">
        <f t="shared" si="1562"/>
        <v>3</v>
      </c>
      <c r="AS566">
        <f>IF(AND(IFERROR(VLOOKUP(AJ566,Equip!$A:$N,13,FALSE),0)&gt;=5,IFERROR(VLOOKUP(AJ566,Equip!$A:$N,13,FALSE),0)&lt;=9),INT(VLOOKUP(AJ566,Equip!$A:$N,6,FALSE)*SQRT(AN566)),0)</f>
        <v>0</v>
      </c>
      <c r="AT566">
        <f>IF(AND(IFERROR(VLOOKUP(AK566,Equip!$A:$N,13,FALSE),0)&gt;=5,IFERROR(VLOOKUP(AK566,Equip!$A:$N,13,FALSE),0)&lt;=9),INT(VLOOKUP(AK566,Equip!$A:$N,6,FALSE)*SQRT(AO566)),0)</f>
        <v>0</v>
      </c>
      <c r="AU566">
        <f>IF(AND(IFERROR(VLOOKUP(AL566,Equip!$A:$N,13,FALSE),0)&gt;=5,IFERROR(VLOOKUP(AL566,Equip!$A:$N,13,FALSE),0)&lt;=9),INT(VLOOKUP(AL566,Equip!$A:$N,6,FALSE)*SQRT(AP566)),0)</f>
        <v>0</v>
      </c>
      <c r="AV566">
        <f>IF(AND(IFERROR(VLOOKUP(AM566,Equip!$A:$N,13,FALSE),0)&gt;=5,IFERROR(VLOOKUP(AM566,Equip!$A:$N,13,FALSE),0)&lt;=9),INT(VLOOKUP(AM566,Equip!$A:$N,6,FALSE)*SQRT(AQ566)),0)</f>
        <v>0</v>
      </c>
      <c r="AW566">
        <f t="shared" si="1560"/>
        <v>0</v>
      </c>
      <c r="AX566">
        <f t="shared" si="1561"/>
        <v>772</v>
      </c>
    </row>
    <row r="567" spans="1:50">
      <c r="A567">
        <v>602</v>
      </c>
      <c r="B567" t="s">
        <v>978</v>
      </c>
      <c r="C567" t="s">
        <v>978</v>
      </c>
      <c r="D567">
        <v>0</v>
      </c>
      <c r="E567">
        <v>0</v>
      </c>
      <c r="F567">
        <v>0</v>
      </c>
      <c r="G567">
        <v>601</v>
      </c>
      <c r="H567">
        <v>0</v>
      </c>
      <c r="I567">
        <v>0</v>
      </c>
      <c r="J567">
        <v>0</v>
      </c>
      <c r="K567">
        <v>2</v>
      </c>
      <c r="L567">
        <v>2</v>
      </c>
      <c r="M567">
        <v>270</v>
      </c>
      <c r="N567">
        <v>270</v>
      </c>
      <c r="O567">
        <v>69</v>
      </c>
      <c r="P567">
        <v>170</v>
      </c>
      <c r="Q567">
        <v>88</v>
      </c>
      <c r="R567">
        <v>77</v>
      </c>
      <c r="S567">
        <v>60</v>
      </c>
      <c r="T567">
        <v>98</v>
      </c>
      <c r="U567">
        <v>10</v>
      </c>
      <c r="V567">
        <v>70</v>
      </c>
      <c r="W567">
        <v>2</v>
      </c>
      <c r="X567">
        <v>90</v>
      </c>
      <c r="Y567">
        <v>20</v>
      </c>
      <c r="Z567">
        <v>0</v>
      </c>
      <c r="AA567">
        <v>0</v>
      </c>
      <c r="AB567">
        <v>69</v>
      </c>
      <c r="AC567">
        <v>88</v>
      </c>
      <c r="AD567">
        <v>60</v>
      </c>
      <c r="AE567">
        <v>170</v>
      </c>
      <c r="AF567">
        <v>90</v>
      </c>
      <c r="AG567">
        <v>77</v>
      </c>
      <c r="AH567">
        <v>98</v>
      </c>
      <c r="AI567">
        <v>70</v>
      </c>
      <c r="AJ567">
        <v>506</v>
      </c>
      <c r="AK567">
        <v>506</v>
      </c>
      <c r="AL567">
        <v>529</v>
      </c>
      <c r="AM567">
        <v>525</v>
      </c>
      <c r="AN567">
        <v>0</v>
      </c>
      <c r="AO567">
        <v>0</v>
      </c>
      <c r="AP567">
        <v>0</v>
      </c>
      <c r="AQ567">
        <v>3</v>
      </c>
      <c r="AR567">
        <f t="shared" si="1562"/>
        <v>3</v>
      </c>
      <c r="AS567">
        <f>IF(AND(IFERROR(VLOOKUP(AJ567,Equip!$A:$N,13,FALSE),0)&gt;=5,IFERROR(VLOOKUP(AJ567,Equip!$A:$N,13,FALSE),0)&lt;=9),INT(VLOOKUP(AJ567,Equip!$A:$N,6,FALSE)*SQRT(AN567)),0)</f>
        <v>0</v>
      </c>
      <c r="AT567">
        <f>IF(AND(IFERROR(VLOOKUP(AK567,Equip!$A:$N,13,FALSE),0)&gt;=5,IFERROR(VLOOKUP(AK567,Equip!$A:$N,13,FALSE),0)&lt;=9),INT(VLOOKUP(AK567,Equip!$A:$N,6,FALSE)*SQRT(AO567)),0)</f>
        <v>0</v>
      </c>
      <c r="AU567">
        <f>IF(AND(IFERROR(VLOOKUP(AL567,Equip!$A:$N,13,FALSE),0)&gt;=5,IFERROR(VLOOKUP(AL567,Equip!$A:$N,13,FALSE),0)&lt;=9),INT(VLOOKUP(AL567,Equip!$A:$N,6,FALSE)*SQRT(AP567)),0)</f>
        <v>0</v>
      </c>
      <c r="AV567">
        <f>IF(AND(IFERROR(VLOOKUP(AM567,Equip!$A:$N,13,FALSE),0)&gt;=5,IFERROR(VLOOKUP(AM567,Equip!$A:$N,13,FALSE),0)&lt;=9),INT(VLOOKUP(AM567,Equip!$A:$N,6,FALSE)*SQRT(AQ567)),0)</f>
        <v>0</v>
      </c>
      <c r="AW567">
        <f t="shared" si="1560"/>
        <v>0</v>
      </c>
      <c r="AX567">
        <f t="shared" si="1561"/>
        <v>902</v>
      </c>
    </row>
    <row r="568" spans="1:50">
      <c r="A568">
        <v>603</v>
      </c>
      <c r="B568" t="s">
        <v>979</v>
      </c>
      <c r="C568" t="s">
        <v>979</v>
      </c>
      <c r="D568">
        <v>0</v>
      </c>
      <c r="E568">
        <v>0</v>
      </c>
      <c r="F568">
        <v>0</v>
      </c>
      <c r="G568">
        <v>603</v>
      </c>
      <c r="H568">
        <v>0</v>
      </c>
      <c r="I568">
        <v>0</v>
      </c>
      <c r="J568">
        <v>0</v>
      </c>
      <c r="K568">
        <v>8</v>
      </c>
      <c r="L568">
        <v>10</v>
      </c>
      <c r="M568">
        <v>415</v>
      </c>
      <c r="N568">
        <v>415</v>
      </c>
      <c r="O568">
        <v>188</v>
      </c>
      <c r="P568">
        <v>168</v>
      </c>
      <c r="Q568">
        <v>0</v>
      </c>
      <c r="R568">
        <v>40</v>
      </c>
      <c r="S568">
        <v>88</v>
      </c>
      <c r="T568">
        <v>0</v>
      </c>
      <c r="U568">
        <v>5</v>
      </c>
      <c r="V568">
        <v>80</v>
      </c>
      <c r="W568">
        <v>3</v>
      </c>
      <c r="X568">
        <v>60</v>
      </c>
      <c r="Y568">
        <v>15</v>
      </c>
      <c r="Z568">
        <v>0</v>
      </c>
      <c r="AA568">
        <v>0</v>
      </c>
      <c r="AB568">
        <v>188</v>
      </c>
      <c r="AC568">
        <v>0</v>
      </c>
      <c r="AD568">
        <v>88</v>
      </c>
      <c r="AE568">
        <v>168</v>
      </c>
      <c r="AF568">
        <v>60</v>
      </c>
      <c r="AG568">
        <v>40</v>
      </c>
      <c r="AH568">
        <v>0</v>
      </c>
      <c r="AI568">
        <v>80</v>
      </c>
      <c r="AJ568">
        <v>551</v>
      </c>
      <c r="AK568">
        <v>551</v>
      </c>
      <c r="AL568">
        <v>529</v>
      </c>
      <c r="AM568">
        <v>525</v>
      </c>
      <c r="AN568">
        <v>0</v>
      </c>
      <c r="AO568">
        <v>0</v>
      </c>
      <c r="AP568">
        <v>0</v>
      </c>
      <c r="AQ568">
        <v>6</v>
      </c>
      <c r="AR568">
        <f t="shared" si="1562"/>
        <v>6</v>
      </c>
      <c r="AS568">
        <f>IF(AND(IFERROR(VLOOKUP(AJ568,Equip!$A:$N,13,FALSE),0)&gt;=5,IFERROR(VLOOKUP(AJ568,Equip!$A:$N,13,FALSE),0)&lt;=9),INT(VLOOKUP(AJ568,Equip!$A:$N,6,FALSE)*SQRT(AN568)),0)</f>
        <v>0</v>
      </c>
      <c r="AT568">
        <f>IF(AND(IFERROR(VLOOKUP(AK568,Equip!$A:$N,13,FALSE),0)&gt;=5,IFERROR(VLOOKUP(AK568,Equip!$A:$N,13,FALSE),0)&lt;=9),INT(VLOOKUP(AK568,Equip!$A:$N,6,FALSE)*SQRT(AO568)),0)</f>
        <v>0</v>
      </c>
      <c r="AU568">
        <f>IF(AND(IFERROR(VLOOKUP(AL568,Equip!$A:$N,13,FALSE),0)&gt;=5,IFERROR(VLOOKUP(AL568,Equip!$A:$N,13,FALSE),0)&lt;=9),INT(VLOOKUP(AL568,Equip!$A:$N,6,FALSE)*SQRT(AP568)),0)</f>
        <v>0</v>
      </c>
      <c r="AV568">
        <f>IF(AND(IFERROR(VLOOKUP(AM568,Equip!$A:$N,13,FALSE),0)&gt;=5,IFERROR(VLOOKUP(AM568,Equip!$A:$N,13,FALSE),0)&lt;=9),INT(VLOOKUP(AM568,Equip!$A:$N,6,FALSE)*SQRT(AQ568)),0)</f>
        <v>0</v>
      </c>
      <c r="AW568">
        <f t="shared" si="1560"/>
        <v>0</v>
      </c>
      <c r="AX568">
        <f t="shared" si="1561"/>
        <v>979</v>
      </c>
    </row>
    <row r="569" spans="1:50">
      <c r="A569">
        <v>604</v>
      </c>
      <c r="B569" t="s">
        <v>979</v>
      </c>
      <c r="C569" t="s">
        <v>979</v>
      </c>
      <c r="D569">
        <v>0</v>
      </c>
      <c r="E569">
        <v>0</v>
      </c>
      <c r="F569">
        <v>0</v>
      </c>
      <c r="G569">
        <v>603</v>
      </c>
      <c r="H569">
        <v>0</v>
      </c>
      <c r="I569">
        <v>0</v>
      </c>
      <c r="J569">
        <v>0</v>
      </c>
      <c r="K569">
        <v>8</v>
      </c>
      <c r="L569">
        <v>10</v>
      </c>
      <c r="M569">
        <v>500</v>
      </c>
      <c r="N569">
        <v>500</v>
      </c>
      <c r="O569">
        <v>198</v>
      </c>
      <c r="P569">
        <v>200</v>
      </c>
      <c r="Q569">
        <v>0</v>
      </c>
      <c r="R569">
        <v>48</v>
      </c>
      <c r="S569">
        <v>96</v>
      </c>
      <c r="T569">
        <v>0</v>
      </c>
      <c r="U569">
        <v>5</v>
      </c>
      <c r="V569">
        <v>80</v>
      </c>
      <c r="W569">
        <v>3</v>
      </c>
      <c r="X569">
        <v>90</v>
      </c>
      <c r="Y569">
        <v>20</v>
      </c>
      <c r="Z569">
        <v>0</v>
      </c>
      <c r="AA569">
        <v>0</v>
      </c>
      <c r="AB569">
        <v>198</v>
      </c>
      <c r="AC569">
        <v>0</v>
      </c>
      <c r="AD569">
        <v>96</v>
      </c>
      <c r="AE569">
        <v>200</v>
      </c>
      <c r="AF569">
        <v>90</v>
      </c>
      <c r="AG569">
        <v>48</v>
      </c>
      <c r="AH569">
        <v>0</v>
      </c>
      <c r="AI569">
        <v>80</v>
      </c>
      <c r="AJ569">
        <v>551</v>
      </c>
      <c r="AK569">
        <v>551</v>
      </c>
      <c r="AL569">
        <v>529</v>
      </c>
      <c r="AM569">
        <v>525</v>
      </c>
      <c r="AN569">
        <v>0</v>
      </c>
      <c r="AO569">
        <v>0</v>
      </c>
      <c r="AP569">
        <v>0</v>
      </c>
      <c r="AQ569">
        <v>6</v>
      </c>
      <c r="AR569">
        <f t="shared" si="1562"/>
        <v>6</v>
      </c>
      <c r="AS569">
        <f>IF(AND(IFERROR(VLOOKUP(AJ569,Equip!$A:$N,13,FALSE),0)&gt;=5,IFERROR(VLOOKUP(AJ569,Equip!$A:$N,13,FALSE),0)&lt;=9),INT(VLOOKUP(AJ569,Equip!$A:$N,6,FALSE)*SQRT(AN569)),0)</f>
        <v>0</v>
      </c>
      <c r="AT569">
        <f>IF(AND(IFERROR(VLOOKUP(AK569,Equip!$A:$N,13,FALSE),0)&gt;=5,IFERROR(VLOOKUP(AK569,Equip!$A:$N,13,FALSE),0)&lt;=9),INT(VLOOKUP(AK569,Equip!$A:$N,6,FALSE)*SQRT(AO569)),0)</f>
        <v>0</v>
      </c>
      <c r="AU569">
        <f>IF(AND(IFERROR(VLOOKUP(AL569,Equip!$A:$N,13,FALSE),0)&gt;=5,IFERROR(VLOOKUP(AL569,Equip!$A:$N,13,FALSE),0)&lt;=9),INT(VLOOKUP(AL569,Equip!$A:$N,6,FALSE)*SQRT(AP569)),0)</f>
        <v>0</v>
      </c>
      <c r="AV569">
        <f>IF(AND(IFERROR(VLOOKUP(AM569,Equip!$A:$N,13,FALSE),0)&gt;=5,IFERROR(VLOOKUP(AM569,Equip!$A:$N,13,FALSE),0)&lt;=9),INT(VLOOKUP(AM569,Equip!$A:$N,6,FALSE)*SQRT(AQ569)),0)</f>
        <v>0</v>
      </c>
      <c r="AW569">
        <f t="shared" si="1560"/>
        <v>0</v>
      </c>
      <c r="AX569">
        <f t="shared" si="1561"/>
        <v>1122</v>
      </c>
    </row>
    <row r="570" spans="1:50">
      <c r="A570">
        <v>605</v>
      </c>
      <c r="B570" t="s">
        <v>980</v>
      </c>
      <c r="C570" t="s">
        <v>980</v>
      </c>
      <c r="D570">
        <v>0</v>
      </c>
      <c r="E570">
        <v>0</v>
      </c>
      <c r="F570">
        <v>0</v>
      </c>
      <c r="G570">
        <v>605</v>
      </c>
      <c r="H570">
        <v>0</v>
      </c>
      <c r="I570">
        <v>0</v>
      </c>
      <c r="J570">
        <v>0</v>
      </c>
      <c r="K570">
        <v>7</v>
      </c>
      <c r="L570">
        <v>0</v>
      </c>
      <c r="M570">
        <v>450</v>
      </c>
      <c r="N570">
        <v>450</v>
      </c>
      <c r="O570">
        <v>120</v>
      </c>
      <c r="P570">
        <v>120</v>
      </c>
      <c r="Q570">
        <v>0</v>
      </c>
      <c r="R570">
        <v>10</v>
      </c>
      <c r="S570">
        <v>100</v>
      </c>
      <c r="T570">
        <v>0</v>
      </c>
      <c r="U570">
        <v>0</v>
      </c>
      <c r="V570">
        <v>100</v>
      </c>
      <c r="W570">
        <v>3</v>
      </c>
      <c r="X570">
        <v>60</v>
      </c>
      <c r="Y570">
        <v>15</v>
      </c>
      <c r="Z570">
        <v>0</v>
      </c>
      <c r="AA570">
        <v>0</v>
      </c>
      <c r="AB570">
        <v>120</v>
      </c>
      <c r="AC570">
        <v>0</v>
      </c>
      <c r="AD570">
        <v>100</v>
      </c>
      <c r="AE570">
        <v>120</v>
      </c>
      <c r="AF570">
        <v>60</v>
      </c>
      <c r="AG570">
        <v>10</v>
      </c>
      <c r="AH570">
        <v>0</v>
      </c>
      <c r="AI570">
        <v>100</v>
      </c>
      <c r="AJ570">
        <v>551</v>
      </c>
      <c r="AK570">
        <v>551</v>
      </c>
      <c r="AL570">
        <v>547</v>
      </c>
      <c r="AM570">
        <v>548</v>
      </c>
      <c r="AN570">
        <v>0</v>
      </c>
      <c r="AO570">
        <v>0</v>
      </c>
      <c r="AP570">
        <v>90</v>
      </c>
      <c r="AQ570">
        <v>90</v>
      </c>
      <c r="AR570">
        <f t="shared" si="1562"/>
        <v>180</v>
      </c>
      <c r="AS570">
        <f>IF(AND(IFERROR(VLOOKUP(AJ570,Equip!$A:$N,13,FALSE),0)&gt;=5,IFERROR(VLOOKUP(AJ570,Equip!$A:$N,13,FALSE),0)&lt;=9),INT(VLOOKUP(AJ570,Equip!$A:$N,6,FALSE)*SQRT(AN570)),0)</f>
        <v>0</v>
      </c>
      <c r="AT570">
        <f>IF(AND(IFERROR(VLOOKUP(AK570,Equip!$A:$N,13,FALSE),0)&gt;=5,IFERROR(VLOOKUP(AK570,Equip!$A:$N,13,FALSE),0)&lt;=9),INT(VLOOKUP(AK570,Equip!$A:$N,6,FALSE)*SQRT(AO570)),0)</f>
        <v>0</v>
      </c>
      <c r="AU570">
        <f>IF(AND(IFERROR(VLOOKUP(AL570,Equip!$A:$N,13,FALSE),0)&gt;=5,IFERROR(VLOOKUP(AL570,Equip!$A:$N,13,FALSE),0)&lt;=9),INT(VLOOKUP(AL570,Equip!$A:$N,6,FALSE)*SQRT(AP570)),0)</f>
        <v>0</v>
      </c>
      <c r="AV570">
        <f>IF(AND(IFERROR(VLOOKUP(AM570,Equip!$A:$N,13,FALSE),0)&gt;=5,IFERROR(VLOOKUP(AM570,Equip!$A:$N,13,FALSE),0)&lt;=9),INT(VLOOKUP(AM570,Equip!$A:$N,6,FALSE)*SQRT(AQ570)),0)</f>
        <v>0</v>
      </c>
      <c r="AW570">
        <f t="shared" si="1560"/>
        <v>0</v>
      </c>
      <c r="AX570">
        <f t="shared" si="1561"/>
        <v>900</v>
      </c>
    </row>
    <row r="571" spans="1:50">
      <c r="A571">
        <v>606</v>
      </c>
      <c r="B571" t="s">
        <v>980</v>
      </c>
      <c r="C571" t="s">
        <v>980</v>
      </c>
      <c r="D571">
        <v>0</v>
      </c>
      <c r="E571">
        <v>0</v>
      </c>
      <c r="F571">
        <v>0</v>
      </c>
      <c r="G571">
        <v>605</v>
      </c>
      <c r="H571">
        <v>0</v>
      </c>
      <c r="I571">
        <v>0</v>
      </c>
      <c r="J571">
        <v>0</v>
      </c>
      <c r="K571">
        <v>7</v>
      </c>
      <c r="L571">
        <v>0</v>
      </c>
      <c r="M571">
        <v>450</v>
      </c>
      <c r="N571">
        <v>450</v>
      </c>
      <c r="O571">
        <v>130</v>
      </c>
      <c r="P571">
        <v>140</v>
      </c>
      <c r="Q571">
        <v>0</v>
      </c>
      <c r="R571">
        <v>10</v>
      </c>
      <c r="S571">
        <v>120</v>
      </c>
      <c r="T571">
        <v>0</v>
      </c>
      <c r="U571">
        <v>0</v>
      </c>
      <c r="V571">
        <v>110</v>
      </c>
      <c r="W571">
        <v>3</v>
      </c>
      <c r="X571">
        <v>65</v>
      </c>
      <c r="Y571">
        <v>15</v>
      </c>
      <c r="Z571">
        <v>0</v>
      </c>
      <c r="AA571">
        <v>0</v>
      </c>
      <c r="AB571">
        <v>130</v>
      </c>
      <c r="AC571">
        <v>0</v>
      </c>
      <c r="AD571">
        <v>120</v>
      </c>
      <c r="AE571">
        <v>140</v>
      </c>
      <c r="AF571">
        <v>65</v>
      </c>
      <c r="AG571">
        <v>10</v>
      </c>
      <c r="AH571">
        <v>0</v>
      </c>
      <c r="AI571">
        <v>110</v>
      </c>
      <c r="AJ571">
        <v>551</v>
      </c>
      <c r="AK571">
        <v>551</v>
      </c>
      <c r="AL571">
        <v>547</v>
      </c>
      <c r="AM571">
        <v>548</v>
      </c>
      <c r="AN571">
        <v>0</v>
      </c>
      <c r="AO571">
        <v>0</v>
      </c>
      <c r="AP571">
        <v>108</v>
      </c>
      <c r="AQ571">
        <v>108</v>
      </c>
      <c r="AR571">
        <f t="shared" si="1562"/>
        <v>216</v>
      </c>
      <c r="AS571">
        <f>IF(AND(IFERROR(VLOOKUP(AJ571,Equip!$A:$N,13,FALSE),0)&gt;=5,IFERROR(VLOOKUP(AJ571,Equip!$A:$N,13,FALSE),0)&lt;=9),INT(VLOOKUP(AJ571,Equip!$A:$N,6,FALSE)*SQRT(AN571)),0)</f>
        <v>0</v>
      </c>
      <c r="AT571">
        <f>IF(AND(IFERROR(VLOOKUP(AK571,Equip!$A:$N,13,FALSE),0)&gt;=5,IFERROR(VLOOKUP(AK571,Equip!$A:$N,13,FALSE),0)&lt;=9),INT(VLOOKUP(AK571,Equip!$A:$N,6,FALSE)*SQRT(AO571)),0)</f>
        <v>0</v>
      </c>
      <c r="AU571">
        <f>IF(AND(IFERROR(VLOOKUP(AL571,Equip!$A:$N,13,FALSE),0)&gt;=5,IFERROR(VLOOKUP(AL571,Equip!$A:$N,13,FALSE),0)&lt;=9),INT(VLOOKUP(AL571,Equip!$A:$N,6,FALSE)*SQRT(AP571)),0)</f>
        <v>0</v>
      </c>
      <c r="AV571">
        <f>IF(AND(IFERROR(VLOOKUP(AM571,Equip!$A:$N,13,FALSE),0)&gt;=5,IFERROR(VLOOKUP(AM571,Equip!$A:$N,13,FALSE),0)&lt;=9),INT(VLOOKUP(AM571,Equip!$A:$N,6,FALSE)*SQRT(AQ571)),0)</f>
        <v>0</v>
      </c>
      <c r="AW571">
        <f t="shared" si="1560"/>
        <v>0</v>
      </c>
      <c r="AX571">
        <f t="shared" si="1561"/>
        <v>960</v>
      </c>
    </row>
    <row r="572" spans="1:50">
      <c r="A572">
        <v>607</v>
      </c>
      <c r="B572" t="s">
        <v>980</v>
      </c>
      <c r="C572" t="s">
        <v>980</v>
      </c>
      <c r="D572">
        <v>0</v>
      </c>
      <c r="E572">
        <v>0</v>
      </c>
      <c r="F572">
        <v>0</v>
      </c>
      <c r="G572">
        <v>605</v>
      </c>
      <c r="H572">
        <v>0</v>
      </c>
      <c r="I572">
        <v>0</v>
      </c>
      <c r="J572">
        <v>0</v>
      </c>
      <c r="K572">
        <v>7</v>
      </c>
      <c r="L572">
        <v>0</v>
      </c>
      <c r="M572">
        <v>500</v>
      </c>
      <c r="N572">
        <v>500</v>
      </c>
      <c r="O572">
        <v>140</v>
      </c>
      <c r="P572">
        <v>140</v>
      </c>
      <c r="Q572">
        <v>0</v>
      </c>
      <c r="R572">
        <v>15</v>
      </c>
      <c r="S572">
        <v>140</v>
      </c>
      <c r="T572">
        <v>0</v>
      </c>
      <c r="U572">
        <v>0</v>
      </c>
      <c r="V572">
        <v>120</v>
      </c>
      <c r="W572">
        <v>3</v>
      </c>
      <c r="X572">
        <v>70</v>
      </c>
      <c r="Y572">
        <v>20</v>
      </c>
      <c r="Z572">
        <v>0</v>
      </c>
      <c r="AA572">
        <v>0</v>
      </c>
      <c r="AB572">
        <v>140</v>
      </c>
      <c r="AC572">
        <v>0</v>
      </c>
      <c r="AD572">
        <v>140</v>
      </c>
      <c r="AE572">
        <v>140</v>
      </c>
      <c r="AF572">
        <v>70</v>
      </c>
      <c r="AG572">
        <v>15</v>
      </c>
      <c r="AH572">
        <v>0</v>
      </c>
      <c r="AI572">
        <v>120</v>
      </c>
      <c r="AJ572">
        <v>551</v>
      </c>
      <c r="AK572">
        <v>551</v>
      </c>
      <c r="AL572">
        <v>547</v>
      </c>
      <c r="AM572">
        <v>548</v>
      </c>
      <c r="AN572">
        <v>0</v>
      </c>
      <c r="AO572">
        <v>0</v>
      </c>
      <c r="AP572">
        <v>108</v>
      </c>
      <c r="AQ572">
        <v>108</v>
      </c>
      <c r="AR572">
        <f t="shared" si="1562"/>
        <v>216</v>
      </c>
      <c r="AS572">
        <f>IF(AND(IFERROR(VLOOKUP(AJ572,Equip!$A:$N,13,FALSE),0)&gt;=5,IFERROR(VLOOKUP(AJ572,Equip!$A:$N,13,FALSE),0)&lt;=9),INT(VLOOKUP(AJ572,Equip!$A:$N,6,FALSE)*SQRT(AN572)),0)</f>
        <v>0</v>
      </c>
      <c r="AT572">
        <f>IF(AND(IFERROR(VLOOKUP(AK572,Equip!$A:$N,13,FALSE),0)&gt;=5,IFERROR(VLOOKUP(AK572,Equip!$A:$N,13,FALSE),0)&lt;=9),INT(VLOOKUP(AK572,Equip!$A:$N,6,FALSE)*SQRT(AO572)),0)</f>
        <v>0</v>
      </c>
      <c r="AU572">
        <f>IF(AND(IFERROR(VLOOKUP(AL572,Equip!$A:$N,13,FALSE),0)&gt;=5,IFERROR(VLOOKUP(AL572,Equip!$A:$N,13,FALSE),0)&lt;=9),INT(VLOOKUP(AL572,Equip!$A:$N,6,FALSE)*SQRT(AP572)),0)</f>
        <v>0</v>
      </c>
      <c r="AV572">
        <f>IF(AND(IFERROR(VLOOKUP(AM572,Equip!$A:$N,13,FALSE),0)&gt;=5,IFERROR(VLOOKUP(AM572,Equip!$A:$N,13,FALSE),0)&lt;=9),INT(VLOOKUP(AM572,Equip!$A:$N,6,FALSE)*SQRT(AQ572)),0)</f>
        <v>0</v>
      </c>
      <c r="AW572">
        <f t="shared" si="1560"/>
        <v>0</v>
      </c>
      <c r="AX572">
        <f t="shared" si="1561"/>
        <v>1055</v>
      </c>
    </row>
    <row r="573" spans="1:50">
      <c r="A573">
        <v>608</v>
      </c>
      <c r="B573" t="s">
        <v>980</v>
      </c>
      <c r="C573" t="s">
        <v>980</v>
      </c>
      <c r="D573">
        <v>0</v>
      </c>
      <c r="E573">
        <v>0</v>
      </c>
      <c r="F573">
        <v>0</v>
      </c>
      <c r="G573">
        <v>605</v>
      </c>
      <c r="H573">
        <v>0</v>
      </c>
      <c r="I573">
        <v>0</v>
      </c>
      <c r="J573">
        <v>0</v>
      </c>
      <c r="K573">
        <v>7</v>
      </c>
      <c r="L573">
        <v>0</v>
      </c>
      <c r="M573">
        <v>500</v>
      </c>
      <c r="N573">
        <v>500</v>
      </c>
      <c r="O573">
        <v>160</v>
      </c>
      <c r="P573">
        <v>160</v>
      </c>
      <c r="Q573">
        <v>0</v>
      </c>
      <c r="R573">
        <v>20</v>
      </c>
      <c r="S573">
        <v>160</v>
      </c>
      <c r="T573">
        <v>0</v>
      </c>
      <c r="U573">
        <v>0</v>
      </c>
      <c r="V573">
        <v>130</v>
      </c>
      <c r="W573">
        <v>3</v>
      </c>
      <c r="X573">
        <v>75</v>
      </c>
      <c r="Y573">
        <v>20</v>
      </c>
      <c r="Z573">
        <v>0</v>
      </c>
      <c r="AA573">
        <v>0</v>
      </c>
      <c r="AB573">
        <v>160</v>
      </c>
      <c r="AC573">
        <v>0</v>
      </c>
      <c r="AD573">
        <v>160</v>
      </c>
      <c r="AE573">
        <v>160</v>
      </c>
      <c r="AF573">
        <v>75</v>
      </c>
      <c r="AG573">
        <v>20</v>
      </c>
      <c r="AH573">
        <v>0</v>
      </c>
      <c r="AI573">
        <v>130</v>
      </c>
      <c r="AJ573">
        <v>551</v>
      </c>
      <c r="AK573">
        <v>551</v>
      </c>
      <c r="AL573">
        <v>547</v>
      </c>
      <c r="AM573">
        <v>548</v>
      </c>
      <c r="AN573">
        <v>0</v>
      </c>
      <c r="AO573">
        <v>0</v>
      </c>
      <c r="AP573">
        <v>130</v>
      </c>
      <c r="AQ573">
        <v>130</v>
      </c>
      <c r="AR573">
        <f t="shared" si="1562"/>
        <v>260</v>
      </c>
      <c r="AS573">
        <f>IF(AND(IFERROR(VLOOKUP(AJ573,Equip!$A:$N,13,FALSE),0)&gt;=5,IFERROR(VLOOKUP(AJ573,Equip!$A:$N,13,FALSE),0)&lt;=9),INT(VLOOKUP(AJ573,Equip!$A:$N,6,FALSE)*SQRT(AN573)),0)</f>
        <v>0</v>
      </c>
      <c r="AT573">
        <f>IF(AND(IFERROR(VLOOKUP(AK573,Equip!$A:$N,13,FALSE),0)&gt;=5,IFERROR(VLOOKUP(AK573,Equip!$A:$N,13,FALSE),0)&lt;=9),INT(VLOOKUP(AK573,Equip!$A:$N,6,FALSE)*SQRT(AO573)),0)</f>
        <v>0</v>
      </c>
      <c r="AU573">
        <f>IF(AND(IFERROR(VLOOKUP(AL573,Equip!$A:$N,13,FALSE),0)&gt;=5,IFERROR(VLOOKUP(AL573,Equip!$A:$N,13,FALSE),0)&lt;=9),INT(VLOOKUP(AL573,Equip!$A:$N,6,FALSE)*SQRT(AP573)),0)</f>
        <v>0</v>
      </c>
      <c r="AV573">
        <f>IF(AND(IFERROR(VLOOKUP(AM573,Equip!$A:$N,13,FALSE),0)&gt;=5,IFERROR(VLOOKUP(AM573,Equip!$A:$N,13,FALSE),0)&lt;=9),INT(VLOOKUP(AM573,Equip!$A:$N,6,FALSE)*SQRT(AQ573)),0)</f>
        <v>0</v>
      </c>
      <c r="AW573">
        <f t="shared" si="1560"/>
        <v>0</v>
      </c>
      <c r="AX573">
        <f t="shared" si="1561"/>
        <v>1130</v>
      </c>
    </row>
    <row r="574" spans="1:50">
      <c r="A574">
        <v>609</v>
      </c>
      <c r="B574" t="s">
        <v>981</v>
      </c>
      <c r="C574" t="s">
        <v>981</v>
      </c>
      <c r="D574">
        <v>0</v>
      </c>
      <c r="E574">
        <v>0</v>
      </c>
      <c r="F574">
        <v>0</v>
      </c>
      <c r="G574">
        <v>609</v>
      </c>
      <c r="H574">
        <v>0</v>
      </c>
      <c r="I574">
        <v>0</v>
      </c>
      <c r="J574">
        <v>0</v>
      </c>
      <c r="K574">
        <v>7</v>
      </c>
      <c r="L574">
        <v>0</v>
      </c>
      <c r="M574">
        <v>330</v>
      </c>
      <c r="N574">
        <v>330</v>
      </c>
      <c r="O574">
        <v>120</v>
      </c>
      <c r="P574">
        <v>200</v>
      </c>
      <c r="Q574">
        <v>0</v>
      </c>
      <c r="R574">
        <v>15</v>
      </c>
      <c r="S574">
        <v>80</v>
      </c>
      <c r="T574">
        <v>0</v>
      </c>
      <c r="U574">
        <v>0</v>
      </c>
      <c r="V574">
        <v>80</v>
      </c>
      <c r="W574">
        <v>3</v>
      </c>
      <c r="X574">
        <v>70</v>
      </c>
      <c r="Y574">
        <v>15</v>
      </c>
      <c r="Z574">
        <v>0</v>
      </c>
      <c r="AA574">
        <v>0</v>
      </c>
      <c r="AB574">
        <v>120</v>
      </c>
      <c r="AC574">
        <v>0</v>
      </c>
      <c r="AD574">
        <v>80</v>
      </c>
      <c r="AE574">
        <v>200</v>
      </c>
      <c r="AF574">
        <v>70</v>
      </c>
      <c r="AG574">
        <v>15</v>
      </c>
      <c r="AH574">
        <v>0</v>
      </c>
      <c r="AI574">
        <v>80</v>
      </c>
      <c r="AJ574">
        <v>536</v>
      </c>
      <c r="AK574">
        <v>508</v>
      </c>
      <c r="AL574">
        <v>508</v>
      </c>
      <c r="AM574">
        <v>548</v>
      </c>
      <c r="AN574">
        <v>0</v>
      </c>
      <c r="AO574">
        <v>0</v>
      </c>
      <c r="AP574">
        <v>0</v>
      </c>
      <c r="AQ574">
        <v>120</v>
      </c>
      <c r="AR574">
        <f t="shared" si="1562"/>
        <v>120</v>
      </c>
      <c r="AS574">
        <f>IF(AND(IFERROR(VLOOKUP(AJ574,Equip!$A:$N,13,FALSE),0)&gt;=5,IFERROR(VLOOKUP(AJ574,Equip!$A:$N,13,FALSE),0)&lt;=9),INT(VLOOKUP(AJ574,Equip!$A:$N,6,FALSE)*SQRT(AN574)),0)</f>
        <v>0</v>
      </c>
      <c r="AT574">
        <f>IF(AND(IFERROR(VLOOKUP(AK574,Equip!$A:$N,13,FALSE),0)&gt;=5,IFERROR(VLOOKUP(AK574,Equip!$A:$N,13,FALSE),0)&lt;=9),INT(VLOOKUP(AK574,Equip!$A:$N,6,FALSE)*SQRT(AO574)),0)</f>
        <v>0</v>
      </c>
      <c r="AU574">
        <f>IF(AND(IFERROR(VLOOKUP(AL574,Equip!$A:$N,13,FALSE),0)&gt;=5,IFERROR(VLOOKUP(AL574,Equip!$A:$N,13,FALSE),0)&lt;=9),INT(VLOOKUP(AL574,Equip!$A:$N,6,FALSE)*SQRT(AP574)),0)</f>
        <v>0</v>
      </c>
      <c r="AV574">
        <f>IF(AND(IFERROR(VLOOKUP(AM574,Equip!$A:$N,13,FALSE),0)&gt;=5,IFERROR(VLOOKUP(AM574,Equip!$A:$N,13,FALSE),0)&lt;=9),INT(VLOOKUP(AM574,Equip!$A:$N,6,FALSE)*SQRT(AQ574)),0)</f>
        <v>0</v>
      </c>
      <c r="AW574">
        <f t="shared" si="1560"/>
        <v>0</v>
      </c>
      <c r="AX574">
        <f t="shared" si="1561"/>
        <v>825</v>
      </c>
    </row>
    <row r="575" spans="1:50">
      <c r="A575">
        <v>610</v>
      </c>
      <c r="B575" t="s">
        <v>981</v>
      </c>
      <c r="C575" t="s">
        <v>981</v>
      </c>
      <c r="D575">
        <v>0</v>
      </c>
      <c r="E575">
        <v>0</v>
      </c>
      <c r="F575">
        <v>0</v>
      </c>
      <c r="G575">
        <v>609</v>
      </c>
      <c r="H575">
        <v>0</v>
      </c>
      <c r="I575">
        <v>0</v>
      </c>
      <c r="J575">
        <v>0</v>
      </c>
      <c r="K575">
        <v>7</v>
      </c>
      <c r="L575">
        <v>0</v>
      </c>
      <c r="M575">
        <v>330</v>
      </c>
      <c r="N575">
        <v>330</v>
      </c>
      <c r="O575">
        <v>130</v>
      </c>
      <c r="P575">
        <v>220</v>
      </c>
      <c r="Q575">
        <v>0</v>
      </c>
      <c r="R575">
        <v>15</v>
      </c>
      <c r="S575">
        <v>90</v>
      </c>
      <c r="T575">
        <v>0</v>
      </c>
      <c r="U575">
        <v>0</v>
      </c>
      <c r="V575">
        <v>90</v>
      </c>
      <c r="W575">
        <v>3</v>
      </c>
      <c r="X575">
        <v>75</v>
      </c>
      <c r="Y575">
        <v>15</v>
      </c>
      <c r="Z575">
        <v>0</v>
      </c>
      <c r="AA575">
        <v>0</v>
      </c>
      <c r="AB575">
        <v>130</v>
      </c>
      <c r="AC575">
        <v>0</v>
      </c>
      <c r="AD575">
        <v>90</v>
      </c>
      <c r="AE575">
        <v>220</v>
      </c>
      <c r="AF575">
        <v>75</v>
      </c>
      <c r="AG575">
        <v>15</v>
      </c>
      <c r="AH575">
        <v>0</v>
      </c>
      <c r="AI575">
        <v>90</v>
      </c>
      <c r="AJ575">
        <v>536</v>
      </c>
      <c r="AK575">
        <v>508</v>
      </c>
      <c r="AL575">
        <v>508</v>
      </c>
      <c r="AM575">
        <v>548</v>
      </c>
      <c r="AN575">
        <v>0</v>
      </c>
      <c r="AO575">
        <v>0</v>
      </c>
      <c r="AP575">
        <v>0</v>
      </c>
      <c r="AQ575">
        <v>140</v>
      </c>
      <c r="AR575">
        <f t="shared" si="1562"/>
        <v>140</v>
      </c>
      <c r="AS575">
        <f>IF(AND(IFERROR(VLOOKUP(AJ575,Equip!$A:$N,13,FALSE),0)&gt;=5,IFERROR(VLOOKUP(AJ575,Equip!$A:$N,13,FALSE),0)&lt;=9),INT(VLOOKUP(AJ575,Equip!$A:$N,6,FALSE)*SQRT(AN575)),0)</f>
        <v>0</v>
      </c>
      <c r="AT575">
        <f>IF(AND(IFERROR(VLOOKUP(AK575,Equip!$A:$N,13,FALSE),0)&gt;=5,IFERROR(VLOOKUP(AK575,Equip!$A:$N,13,FALSE),0)&lt;=9),INT(VLOOKUP(AK575,Equip!$A:$N,6,FALSE)*SQRT(AO575)),0)</f>
        <v>0</v>
      </c>
      <c r="AU575">
        <f>IF(AND(IFERROR(VLOOKUP(AL575,Equip!$A:$N,13,FALSE),0)&gt;=5,IFERROR(VLOOKUP(AL575,Equip!$A:$N,13,FALSE),0)&lt;=9),INT(VLOOKUP(AL575,Equip!$A:$N,6,FALSE)*SQRT(AP575)),0)</f>
        <v>0</v>
      </c>
      <c r="AV575">
        <f>IF(AND(IFERROR(VLOOKUP(AM575,Equip!$A:$N,13,FALSE),0)&gt;=5,IFERROR(VLOOKUP(AM575,Equip!$A:$N,13,FALSE),0)&lt;=9),INT(VLOOKUP(AM575,Equip!$A:$N,6,FALSE)*SQRT(AQ575)),0)</f>
        <v>0</v>
      </c>
      <c r="AW575">
        <f t="shared" si="1560"/>
        <v>0</v>
      </c>
      <c r="AX575">
        <f t="shared" si="1561"/>
        <v>875</v>
      </c>
    </row>
    <row r="576" spans="1:50">
      <c r="A576">
        <v>611</v>
      </c>
      <c r="B576" t="s">
        <v>981</v>
      </c>
      <c r="C576" t="s">
        <v>981</v>
      </c>
      <c r="D576">
        <v>0</v>
      </c>
      <c r="E576">
        <v>0</v>
      </c>
      <c r="F576">
        <v>0</v>
      </c>
      <c r="G576">
        <v>609</v>
      </c>
      <c r="H576">
        <v>0</v>
      </c>
      <c r="I576">
        <v>0</v>
      </c>
      <c r="J576">
        <v>0</v>
      </c>
      <c r="K576">
        <v>7</v>
      </c>
      <c r="L576">
        <v>0</v>
      </c>
      <c r="M576">
        <v>430</v>
      </c>
      <c r="N576">
        <v>430</v>
      </c>
      <c r="O576">
        <v>140</v>
      </c>
      <c r="P576">
        <v>220</v>
      </c>
      <c r="Q576">
        <v>0</v>
      </c>
      <c r="R576">
        <v>20</v>
      </c>
      <c r="S576">
        <v>100</v>
      </c>
      <c r="T576">
        <v>0</v>
      </c>
      <c r="U576">
        <v>0</v>
      </c>
      <c r="V576">
        <v>90</v>
      </c>
      <c r="W576">
        <v>3</v>
      </c>
      <c r="X576">
        <v>80</v>
      </c>
      <c r="Y576">
        <v>20</v>
      </c>
      <c r="Z576">
        <v>0</v>
      </c>
      <c r="AA576">
        <v>0</v>
      </c>
      <c r="AB576">
        <v>140</v>
      </c>
      <c r="AC576">
        <v>0</v>
      </c>
      <c r="AD576">
        <v>100</v>
      </c>
      <c r="AE576">
        <v>220</v>
      </c>
      <c r="AF576">
        <v>80</v>
      </c>
      <c r="AG576">
        <v>20</v>
      </c>
      <c r="AH576">
        <v>0</v>
      </c>
      <c r="AI576">
        <v>90</v>
      </c>
      <c r="AJ576">
        <v>536</v>
      </c>
      <c r="AK576">
        <v>551</v>
      </c>
      <c r="AL576">
        <v>551</v>
      </c>
      <c r="AM576">
        <v>548</v>
      </c>
      <c r="AN576">
        <v>0</v>
      </c>
      <c r="AO576">
        <v>0</v>
      </c>
      <c r="AP576">
        <v>0</v>
      </c>
      <c r="AQ576">
        <v>160</v>
      </c>
      <c r="AR576">
        <f t="shared" si="1562"/>
        <v>160</v>
      </c>
      <c r="AS576">
        <f>IF(AND(IFERROR(VLOOKUP(AJ576,Equip!$A:$N,13,FALSE),0)&gt;=5,IFERROR(VLOOKUP(AJ576,Equip!$A:$N,13,FALSE),0)&lt;=9),INT(VLOOKUP(AJ576,Equip!$A:$N,6,FALSE)*SQRT(AN576)),0)</f>
        <v>0</v>
      </c>
      <c r="AT576">
        <f>IF(AND(IFERROR(VLOOKUP(AK576,Equip!$A:$N,13,FALSE),0)&gt;=5,IFERROR(VLOOKUP(AK576,Equip!$A:$N,13,FALSE),0)&lt;=9),INT(VLOOKUP(AK576,Equip!$A:$N,6,FALSE)*SQRT(AO576)),0)</f>
        <v>0</v>
      </c>
      <c r="AU576">
        <f>IF(AND(IFERROR(VLOOKUP(AL576,Equip!$A:$N,13,FALSE),0)&gt;=5,IFERROR(VLOOKUP(AL576,Equip!$A:$N,13,FALSE),0)&lt;=9),INT(VLOOKUP(AL576,Equip!$A:$N,6,FALSE)*SQRT(AP576)),0)</f>
        <v>0</v>
      </c>
      <c r="AV576">
        <f>IF(AND(IFERROR(VLOOKUP(AM576,Equip!$A:$N,13,FALSE),0)&gt;=5,IFERROR(VLOOKUP(AM576,Equip!$A:$N,13,FALSE),0)&lt;=9),INT(VLOOKUP(AM576,Equip!$A:$N,6,FALSE)*SQRT(AQ576)),0)</f>
        <v>0</v>
      </c>
      <c r="AW576">
        <f t="shared" si="1560"/>
        <v>0</v>
      </c>
      <c r="AX576">
        <f t="shared" si="1561"/>
        <v>1000</v>
      </c>
    </row>
    <row r="577" spans="1:50">
      <c r="A577">
        <v>612</v>
      </c>
      <c r="B577" t="s">
        <v>981</v>
      </c>
      <c r="C577" t="s">
        <v>981</v>
      </c>
      <c r="D577">
        <v>0</v>
      </c>
      <c r="E577">
        <v>0</v>
      </c>
      <c r="F577">
        <v>0</v>
      </c>
      <c r="G577">
        <v>609</v>
      </c>
      <c r="H577">
        <v>0</v>
      </c>
      <c r="I577">
        <v>0</v>
      </c>
      <c r="J577">
        <v>0</v>
      </c>
      <c r="K577">
        <v>7</v>
      </c>
      <c r="L577">
        <v>0</v>
      </c>
      <c r="M577">
        <v>430</v>
      </c>
      <c r="N577">
        <v>430</v>
      </c>
      <c r="O577">
        <v>150</v>
      </c>
      <c r="P577">
        <v>240</v>
      </c>
      <c r="Q577">
        <v>0</v>
      </c>
      <c r="R577">
        <v>25</v>
      </c>
      <c r="S577">
        <v>110</v>
      </c>
      <c r="T577">
        <v>0</v>
      </c>
      <c r="U577">
        <v>0</v>
      </c>
      <c r="V577">
        <v>100</v>
      </c>
      <c r="W577">
        <v>3</v>
      </c>
      <c r="X577">
        <v>85</v>
      </c>
      <c r="Y577">
        <v>20</v>
      </c>
      <c r="Z577">
        <v>0</v>
      </c>
      <c r="AA577">
        <v>0</v>
      </c>
      <c r="AB577">
        <v>150</v>
      </c>
      <c r="AC577">
        <v>0</v>
      </c>
      <c r="AD577">
        <v>110</v>
      </c>
      <c r="AE577">
        <v>240</v>
      </c>
      <c r="AF577">
        <v>85</v>
      </c>
      <c r="AG577">
        <v>25</v>
      </c>
      <c r="AH577">
        <v>0</v>
      </c>
      <c r="AI577">
        <v>100</v>
      </c>
      <c r="AJ577">
        <v>536</v>
      </c>
      <c r="AK577">
        <v>551</v>
      </c>
      <c r="AL577">
        <v>551</v>
      </c>
      <c r="AM577">
        <v>548</v>
      </c>
      <c r="AN577">
        <v>0</v>
      </c>
      <c r="AO577">
        <v>0</v>
      </c>
      <c r="AP577">
        <v>0</v>
      </c>
      <c r="AQ577">
        <v>180</v>
      </c>
      <c r="AR577">
        <f t="shared" si="1562"/>
        <v>180</v>
      </c>
      <c r="AS577">
        <f>IF(AND(IFERROR(VLOOKUP(AJ577,Equip!$A:$N,13,FALSE),0)&gt;=5,IFERROR(VLOOKUP(AJ577,Equip!$A:$N,13,FALSE),0)&lt;=9),INT(VLOOKUP(AJ577,Equip!$A:$N,6,FALSE)*SQRT(AN577)),0)</f>
        <v>0</v>
      </c>
      <c r="AT577">
        <f>IF(AND(IFERROR(VLOOKUP(AK577,Equip!$A:$N,13,FALSE),0)&gt;=5,IFERROR(VLOOKUP(AK577,Equip!$A:$N,13,FALSE),0)&lt;=9),INT(VLOOKUP(AK577,Equip!$A:$N,6,FALSE)*SQRT(AO577)),0)</f>
        <v>0</v>
      </c>
      <c r="AU577">
        <f>IF(AND(IFERROR(VLOOKUP(AL577,Equip!$A:$N,13,FALSE),0)&gt;=5,IFERROR(VLOOKUP(AL577,Equip!$A:$N,13,FALSE),0)&lt;=9),INT(VLOOKUP(AL577,Equip!$A:$N,6,FALSE)*SQRT(AP577)),0)</f>
        <v>0</v>
      </c>
      <c r="AV577">
        <f>IF(AND(IFERROR(VLOOKUP(AM577,Equip!$A:$N,13,FALSE),0)&gt;=5,IFERROR(VLOOKUP(AM577,Equip!$A:$N,13,FALSE),0)&lt;=9),INT(VLOOKUP(AM577,Equip!$A:$N,6,FALSE)*SQRT(AQ577)),0)</f>
        <v>0</v>
      </c>
      <c r="AW577">
        <f t="shared" si="1560"/>
        <v>0</v>
      </c>
      <c r="AX577">
        <f t="shared" si="1561"/>
        <v>1055</v>
      </c>
    </row>
    <row r="578" spans="1:50">
      <c r="A578">
        <v>613</v>
      </c>
      <c r="B578" t="s">
        <v>963</v>
      </c>
      <c r="C578" t="s">
        <v>963</v>
      </c>
      <c r="D578">
        <v>0</v>
      </c>
      <c r="E578">
        <v>0</v>
      </c>
      <c r="F578">
        <v>0</v>
      </c>
      <c r="G578">
        <v>573</v>
      </c>
      <c r="H578">
        <v>0</v>
      </c>
      <c r="I578">
        <v>0</v>
      </c>
      <c r="J578">
        <v>0</v>
      </c>
      <c r="K578">
        <v>7</v>
      </c>
      <c r="L578">
        <v>0</v>
      </c>
      <c r="M578">
        <v>490</v>
      </c>
      <c r="N578">
        <v>490</v>
      </c>
      <c r="O578">
        <v>180</v>
      </c>
      <c r="P578">
        <v>177</v>
      </c>
      <c r="Q578">
        <v>0</v>
      </c>
      <c r="R578">
        <v>37</v>
      </c>
      <c r="S578">
        <v>170</v>
      </c>
      <c r="T578">
        <v>0</v>
      </c>
      <c r="U578">
        <v>0</v>
      </c>
      <c r="V578">
        <v>120</v>
      </c>
      <c r="W578">
        <v>3</v>
      </c>
      <c r="X578">
        <v>65</v>
      </c>
      <c r="Y578">
        <v>20</v>
      </c>
      <c r="Z578">
        <v>0</v>
      </c>
      <c r="AA578">
        <v>0</v>
      </c>
      <c r="AB578">
        <v>180</v>
      </c>
      <c r="AC578">
        <v>0</v>
      </c>
      <c r="AD578">
        <v>170</v>
      </c>
      <c r="AE578">
        <v>177</v>
      </c>
      <c r="AF578">
        <v>65</v>
      </c>
      <c r="AG578">
        <v>37</v>
      </c>
      <c r="AH578">
        <v>0</v>
      </c>
      <c r="AI578">
        <v>120</v>
      </c>
      <c r="AJ578">
        <v>552</v>
      </c>
      <c r="AK578">
        <v>552</v>
      </c>
      <c r="AL578">
        <v>536</v>
      </c>
      <c r="AM578">
        <v>549</v>
      </c>
      <c r="AN578">
        <v>0</v>
      </c>
      <c r="AO578">
        <v>0</v>
      </c>
      <c r="AP578">
        <v>0</v>
      </c>
      <c r="AQ578">
        <v>180</v>
      </c>
      <c r="AR578">
        <f t="shared" si="1562"/>
        <v>180</v>
      </c>
      <c r="AS578">
        <f>IF(AND(IFERROR(VLOOKUP(AJ578,Equip!$A:$N,13,FALSE),0)&gt;=5,IFERROR(VLOOKUP(AJ578,Equip!$A:$N,13,FALSE),0)&lt;=9),INT(VLOOKUP(AJ578,Equip!$A:$N,6,FALSE)*SQRT(AN578)),0)</f>
        <v>0</v>
      </c>
      <c r="AT578">
        <f>IF(AND(IFERROR(VLOOKUP(AK578,Equip!$A:$N,13,FALSE),0)&gt;=5,IFERROR(VLOOKUP(AK578,Equip!$A:$N,13,FALSE),0)&lt;=9),INT(VLOOKUP(AK578,Equip!$A:$N,6,FALSE)*SQRT(AO578)),0)</f>
        <v>0</v>
      </c>
      <c r="AU578">
        <f>IF(AND(IFERROR(VLOOKUP(AL578,Equip!$A:$N,13,FALSE),0)&gt;=5,IFERROR(VLOOKUP(AL578,Equip!$A:$N,13,FALSE),0)&lt;=9),INT(VLOOKUP(AL578,Equip!$A:$N,6,FALSE)*SQRT(AP578)),0)</f>
        <v>0</v>
      </c>
      <c r="AV578">
        <f>IF(AND(IFERROR(VLOOKUP(AM578,Equip!$A:$N,13,FALSE),0)&gt;=5,IFERROR(VLOOKUP(AM578,Equip!$A:$N,13,FALSE),0)&lt;=9),INT(VLOOKUP(AM578,Equip!$A:$N,6,FALSE)*SQRT(AQ578)),0)</f>
        <v>0</v>
      </c>
      <c r="AW578">
        <f t="shared" si="1560"/>
        <v>0</v>
      </c>
      <c r="AX578">
        <f t="shared" si="1561"/>
        <v>1174</v>
      </c>
    </row>
    <row r="579" spans="1:50">
      <c r="A579">
        <v>614</v>
      </c>
      <c r="B579" t="s">
        <v>982</v>
      </c>
      <c r="C579" t="s">
        <v>982</v>
      </c>
      <c r="D579">
        <v>0</v>
      </c>
      <c r="E579">
        <v>0</v>
      </c>
      <c r="F579">
        <v>0</v>
      </c>
      <c r="G579">
        <v>512</v>
      </c>
      <c r="H579">
        <v>0</v>
      </c>
      <c r="I579">
        <v>0</v>
      </c>
      <c r="J579">
        <v>0</v>
      </c>
      <c r="K579">
        <v>12</v>
      </c>
      <c r="L579">
        <v>4</v>
      </c>
      <c r="M579">
        <v>96</v>
      </c>
      <c r="N579">
        <v>96</v>
      </c>
      <c r="O579">
        <v>25</v>
      </c>
      <c r="P579">
        <v>80</v>
      </c>
      <c r="Q579">
        <v>0</v>
      </c>
      <c r="R579">
        <v>45</v>
      </c>
      <c r="S579">
        <v>50</v>
      </c>
      <c r="T579">
        <v>0</v>
      </c>
      <c r="U579">
        <v>10</v>
      </c>
      <c r="V579">
        <v>50</v>
      </c>
      <c r="W579">
        <v>0</v>
      </c>
      <c r="X579">
        <v>30</v>
      </c>
      <c r="Y579">
        <v>5</v>
      </c>
      <c r="Z579">
        <v>0</v>
      </c>
      <c r="AA579">
        <v>0</v>
      </c>
      <c r="AB579">
        <v>25</v>
      </c>
      <c r="AC579">
        <v>0</v>
      </c>
      <c r="AD579">
        <v>50</v>
      </c>
      <c r="AE579">
        <v>80</v>
      </c>
      <c r="AF579">
        <v>30</v>
      </c>
      <c r="AG579">
        <v>45</v>
      </c>
      <c r="AH579">
        <v>0</v>
      </c>
      <c r="AI579">
        <v>50</v>
      </c>
      <c r="AJ579">
        <v>556</v>
      </c>
      <c r="AK579">
        <v>548</v>
      </c>
      <c r="AL579">
        <v>558</v>
      </c>
      <c r="AM579">
        <v>549</v>
      </c>
      <c r="AN579">
        <v>32</v>
      </c>
      <c r="AO579">
        <v>32</v>
      </c>
      <c r="AP579">
        <v>27</v>
      </c>
      <c r="AQ579">
        <v>5</v>
      </c>
      <c r="AR579">
        <f t="shared" si="1562"/>
        <v>96</v>
      </c>
      <c r="AS579">
        <f>IF(AND(IFERROR(VLOOKUP(AJ579,Equip!$A:$N,13,FALSE),0)&gt;=5,IFERROR(VLOOKUP(AJ579,Equip!$A:$N,13,FALSE),0)&lt;=9),INT(VLOOKUP(AJ579,Equip!$A:$N,6,FALSE)*SQRT(AN579)),0)</f>
        <v>0</v>
      </c>
      <c r="AT579">
        <f>IF(AND(IFERROR(VLOOKUP(AK579,Equip!$A:$N,13,FALSE),0)&gt;=5,IFERROR(VLOOKUP(AK579,Equip!$A:$N,13,FALSE),0)&lt;=9),INT(VLOOKUP(AK579,Equip!$A:$N,6,FALSE)*SQRT(AO579)),0)</f>
        <v>0</v>
      </c>
      <c r="AU579">
        <f>IF(AND(IFERROR(VLOOKUP(AL579,Equip!$A:$N,13,FALSE),0)&gt;=5,IFERROR(VLOOKUP(AL579,Equip!$A:$N,13,FALSE),0)&lt;=9),INT(VLOOKUP(AL579,Equip!$A:$N,6,FALSE)*SQRT(AP579)),0)</f>
        <v>0</v>
      </c>
      <c r="AV579">
        <f>IF(AND(IFERROR(VLOOKUP(AM579,Equip!$A:$N,13,FALSE),0)&gt;=5,IFERROR(VLOOKUP(AM579,Equip!$A:$N,13,FALSE),0)&lt;=9),INT(VLOOKUP(AM579,Equip!$A:$N,6,FALSE)*SQRT(AQ579)),0)</f>
        <v>0</v>
      </c>
      <c r="AW579">
        <f t="shared" si="1560"/>
        <v>0</v>
      </c>
      <c r="AX579">
        <f t="shared" si="1561"/>
        <v>346</v>
      </c>
    </row>
    <row r="580" spans="1:50">
      <c r="A580">
        <v>615</v>
      </c>
      <c r="B580" t="s">
        <v>982</v>
      </c>
      <c r="C580" t="s">
        <v>982</v>
      </c>
      <c r="D580">
        <v>0</v>
      </c>
      <c r="E580">
        <v>0</v>
      </c>
      <c r="F580">
        <v>0</v>
      </c>
      <c r="G580">
        <v>512</v>
      </c>
      <c r="H580">
        <v>0</v>
      </c>
      <c r="I580">
        <v>0</v>
      </c>
      <c r="J580">
        <v>0</v>
      </c>
      <c r="K580">
        <v>12</v>
      </c>
      <c r="L580">
        <v>4</v>
      </c>
      <c r="M580">
        <v>96</v>
      </c>
      <c r="N580">
        <v>96</v>
      </c>
      <c r="O580">
        <v>25</v>
      </c>
      <c r="P580">
        <v>80</v>
      </c>
      <c r="Q580">
        <v>0</v>
      </c>
      <c r="R580">
        <v>45</v>
      </c>
      <c r="S580">
        <v>50</v>
      </c>
      <c r="T580">
        <v>0</v>
      </c>
      <c r="U580">
        <v>10</v>
      </c>
      <c r="V580">
        <v>50</v>
      </c>
      <c r="W580">
        <v>0</v>
      </c>
      <c r="X580">
        <v>30</v>
      </c>
      <c r="Y580">
        <v>5</v>
      </c>
      <c r="Z580">
        <v>0</v>
      </c>
      <c r="AA580">
        <v>0</v>
      </c>
      <c r="AB580">
        <v>25</v>
      </c>
      <c r="AC580">
        <v>0</v>
      </c>
      <c r="AD580">
        <v>50</v>
      </c>
      <c r="AE580">
        <v>80</v>
      </c>
      <c r="AF580">
        <v>30</v>
      </c>
      <c r="AG580">
        <v>45</v>
      </c>
      <c r="AH580">
        <v>0</v>
      </c>
      <c r="AI580">
        <v>50</v>
      </c>
      <c r="AJ580">
        <v>556</v>
      </c>
      <c r="AK580">
        <v>557</v>
      </c>
      <c r="AL580">
        <v>558</v>
      </c>
      <c r="AM580">
        <v>558</v>
      </c>
      <c r="AN580">
        <v>32</v>
      </c>
      <c r="AO580">
        <v>32</v>
      </c>
      <c r="AP580">
        <v>27</v>
      </c>
      <c r="AQ580">
        <v>5</v>
      </c>
      <c r="AR580">
        <f t="shared" si="1562"/>
        <v>96</v>
      </c>
      <c r="AS580">
        <f>IF(AND(IFERROR(VLOOKUP(AJ580,Equip!$A:$N,13,FALSE),0)&gt;=5,IFERROR(VLOOKUP(AJ580,Equip!$A:$N,13,FALSE),0)&lt;=9),INT(VLOOKUP(AJ580,Equip!$A:$N,6,FALSE)*SQRT(AN580)),0)</f>
        <v>0</v>
      </c>
      <c r="AT580">
        <f>IF(AND(IFERROR(VLOOKUP(AK580,Equip!$A:$N,13,FALSE),0)&gt;=5,IFERROR(VLOOKUP(AK580,Equip!$A:$N,13,FALSE),0)&lt;=9),INT(VLOOKUP(AK580,Equip!$A:$N,6,FALSE)*SQRT(AO580)),0)</f>
        <v>0</v>
      </c>
      <c r="AU580">
        <f>IF(AND(IFERROR(VLOOKUP(AL580,Equip!$A:$N,13,FALSE),0)&gt;=5,IFERROR(VLOOKUP(AL580,Equip!$A:$N,13,FALSE),0)&lt;=9),INT(VLOOKUP(AL580,Equip!$A:$N,6,FALSE)*SQRT(AP580)),0)</f>
        <v>0</v>
      </c>
      <c r="AV580">
        <f>IF(AND(IFERROR(VLOOKUP(AM580,Equip!$A:$N,13,FALSE),0)&gt;=5,IFERROR(VLOOKUP(AM580,Equip!$A:$N,13,FALSE),0)&lt;=9),INT(VLOOKUP(AM580,Equip!$A:$N,6,FALSE)*SQRT(AQ580)),0)</f>
        <v>0</v>
      </c>
      <c r="AW580">
        <f t="shared" ref="AW580:AW643" si="1563">SUM(AS580:AV580)</f>
        <v>0</v>
      </c>
      <c r="AX580">
        <f t="shared" ref="AX580:AX643" si="1564">SUM(N580,AB580:AE580,AG580:AI580)</f>
        <v>346</v>
      </c>
    </row>
    <row r="581" spans="1:50">
      <c r="A581">
        <v>616</v>
      </c>
      <c r="B581" t="s">
        <v>983</v>
      </c>
      <c r="C581" t="s">
        <v>983</v>
      </c>
      <c r="D581">
        <v>0</v>
      </c>
      <c r="E581">
        <v>0</v>
      </c>
      <c r="F581">
        <v>0</v>
      </c>
      <c r="G581">
        <v>512</v>
      </c>
      <c r="H581">
        <v>0</v>
      </c>
      <c r="I581">
        <v>0</v>
      </c>
      <c r="J581">
        <v>0</v>
      </c>
      <c r="K581">
        <v>12</v>
      </c>
      <c r="L581">
        <v>4</v>
      </c>
      <c r="M581">
        <v>160</v>
      </c>
      <c r="N581">
        <v>160</v>
      </c>
      <c r="O581">
        <v>40</v>
      </c>
      <c r="P581">
        <v>120</v>
      </c>
      <c r="Q581">
        <v>0</v>
      </c>
      <c r="R581">
        <v>50</v>
      </c>
      <c r="S581">
        <v>90</v>
      </c>
      <c r="T581">
        <v>0</v>
      </c>
      <c r="U581">
        <v>10</v>
      </c>
      <c r="V581">
        <v>60</v>
      </c>
      <c r="W581">
        <v>0</v>
      </c>
      <c r="X581">
        <v>30</v>
      </c>
      <c r="Y581">
        <v>10</v>
      </c>
      <c r="Z581">
        <v>0</v>
      </c>
      <c r="AA581">
        <v>0</v>
      </c>
      <c r="AB581">
        <v>40</v>
      </c>
      <c r="AC581">
        <v>0</v>
      </c>
      <c r="AD581">
        <v>90</v>
      </c>
      <c r="AE581">
        <v>120</v>
      </c>
      <c r="AF581">
        <v>30</v>
      </c>
      <c r="AG581">
        <v>50</v>
      </c>
      <c r="AH581">
        <v>0</v>
      </c>
      <c r="AI581">
        <v>60</v>
      </c>
      <c r="AJ581">
        <v>547</v>
      </c>
      <c r="AK581">
        <v>548</v>
      </c>
      <c r="AL581">
        <v>549</v>
      </c>
      <c r="AM581">
        <v>549</v>
      </c>
      <c r="AN581">
        <v>36</v>
      </c>
      <c r="AO581">
        <v>36</v>
      </c>
      <c r="AP581">
        <v>36</v>
      </c>
      <c r="AQ581">
        <v>36</v>
      </c>
      <c r="AR581">
        <f t="shared" si="1562"/>
        <v>144</v>
      </c>
      <c r="AS581">
        <f>IF(AND(IFERROR(VLOOKUP(AJ581,Equip!$A:$N,13,FALSE),0)&gt;=5,IFERROR(VLOOKUP(AJ581,Equip!$A:$N,13,FALSE),0)&lt;=9),INT(VLOOKUP(AJ581,Equip!$A:$N,6,FALSE)*SQRT(AN581)),0)</f>
        <v>0</v>
      </c>
      <c r="AT581">
        <f>IF(AND(IFERROR(VLOOKUP(AK581,Equip!$A:$N,13,FALSE),0)&gt;=5,IFERROR(VLOOKUP(AK581,Equip!$A:$N,13,FALSE),0)&lt;=9),INT(VLOOKUP(AK581,Equip!$A:$N,6,FALSE)*SQRT(AO581)),0)</f>
        <v>0</v>
      </c>
      <c r="AU581">
        <f>IF(AND(IFERROR(VLOOKUP(AL581,Equip!$A:$N,13,FALSE),0)&gt;=5,IFERROR(VLOOKUP(AL581,Equip!$A:$N,13,FALSE),0)&lt;=9),INT(VLOOKUP(AL581,Equip!$A:$N,6,FALSE)*SQRT(AP581)),0)</f>
        <v>0</v>
      </c>
      <c r="AV581">
        <f>IF(AND(IFERROR(VLOOKUP(AM581,Equip!$A:$N,13,FALSE),0)&gt;=5,IFERROR(VLOOKUP(AM581,Equip!$A:$N,13,FALSE),0)&lt;=9),INT(VLOOKUP(AM581,Equip!$A:$N,6,FALSE)*SQRT(AQ581)),0)</f>
        <v>0</v>
      </c>
      <c r="AW581">
        <f t="shared" si="1563"/>
        <v>0</v>
      </c>
      <c r="AX581">
        <f t="shared" si="1564"/>
        <v>520</v>
      </c>
    </row>
    <row r="582" spans="1:50">
      <c r="A582">
        <v>617</v>
      </c>
      <c r="B582" t="s">
        <v>983</v>
      </c>
      <c r="C582" t="s">
        <v>983</v>
      </c>
      <c r="D582">
        <v>0</v>
      </c>
      <c r="E582">
        <v>0</v>
      </c>
      <c r="F582">
        <v>0</v>
      </c>
      <c r="G582">
        <v>512</v>
      </c>
      <c r="H582">
        <v>0</v>
      </c>
      <c r="I582">
        <v>0</v>
      </c>
      <c r="J582">
        <v>0</v>
      </c>
      <c r="K582">
        <v>12</v>
      </c>
      <c r="L582">
        <v>4</v>
      </c>
      <c r="M582">
        <v>160</v>
      </c>
      <c r="N582">
        <v>160</v>
      </c>
      <c r="O582">
        <v>40</v>
      </c>
      <c r="P582">
        <v>120</v>
      </c>
      <c r="Q582">
        <v>0</v>
      </c>
      <c r="R582">
        <v>50</v>
      </c>
      <c r="S582">
        <v>90</v>
      </c>
      <c r="T582">
        <v>0</v>
      </c>
      <c r="U582">
        <v>10</v>
      </c>
      <c r="V582">
        <v>60</v>
      </c>
      <c r="W582">
        <v>0</v>
      </c>
      <c r="X582">
        <v>30</v>
      </c>
      <c r="Y582">
        <v>10</v>
      </c>
      <c r="Z582">
        <v>0</v>
      </c>
      <c r="AA582">
        <v>0</v>
      </c>
      <c r="AB582">
        <v>40</v>
      </c>
      <c r="AC582">
        <v>0</v>
      </c>
      <c r="AD582">
        <v>90</v>
      </c>
      <c r="AE582">
        <v>120</v>
      </c>
      <c r="AF582">
        <v>30</v>
      </c>
      <c r="AG582">
        <v>50</v>
      </c>
      <c r="AH582">
        <v>0</v>
      </c>
      <c r="AI582">
        <v>60</v>
      </c>
      <c r="AJ582">
        <v>556</v>
      </c>
      <c r="AK582">
        <v>548</v>
      </c>
      <c r="AL582">
        <v>558</v>
      </c>
      <c r="AM582">
        <v>549</v>
      </c>
      <c r="AN582">
        <v>36</v>
      </c>
      <c r="AO582">
        <v>36</v>
      </c>
      <c r="AP582">
        <v>36</v>
      </c>
      <c r="AQ582">
        <v>36</v>
      </c>
      <c r="AR582">
        <f t="shared" ref="AR582:AR646" si="1565">SUM(AN582:AQ582)</f>
        <v>144</v>
      </c>
      <c r="AS582">
        <f>IF(AND(IFERROR(VLOOKUP(AJ582,Equip!$A:$N,13,FALSE),0)&gt;=5,IFERROR(VLOOKUP(AJ582,Equip!$A:$N,13,FALSE),0)&lt;=9),INT(VLOOKUP(AJ582,Equip!$A:$N,6,FALSE)*SQRT(AN582)),0)</f>
        <v>0</v>
      </c>
      <c r="AT582">
        <f>IF(AND(IFERROR(VLOOKUP(AK582,Equip!$A:$N,13,FALSE),0)&gt;=5,IFERROR(VLOOKUP(AK582,Equip!$A:$N,13,FALSE),0)&lt;=9),INT(VLOOKUP(AK582,Equip!$A:$N,6,FALSE)*SQRT(AO582)),0)</f>
        <v>0</v>
      </c>
      <c r="AU582">
        <f>IF(AND(IFERROR(VLOOKUP(AL582,Equip!$A:$N,13,FALSE),0)&gt;=5,IFERROR(VLOOKUP(AL582,Equip!$A:$N,13,FALSE),0)&lt;=9),INT(VLOOKUP(AL582,Equip!$A:$N,6,FALSE)*SQRT(AP582)),0)</f>
        <v>0</v>
      </c>
      <c r="AV582">
        <f>IF(AND(IFERROR(VLOOKUP(AM582,Equip!$A:$N,13,FALSE),0)&gt;=5,IFERROR(VLOOKUP(AM582,Equip!$A:$N,13,FALSE),0)&lt;=9),INT(VLOOKUP(AM582,Equip!$A:$N,6,FALSE)*SQRT(AQ582)),0)</f>
        <v>0</v>
      </c>
      <c r="AW582">
        <f t="shared" si="1563"/>
        <v>0</v>
      </c>
      <c r="AX582">
        <f t="shared" si="1564"/>
        <v>520</v>
      </c>
    </row>
    <row r="583" spans="1:50">
      <c r="A583">
        <v>618</v>
      </c>
      <c r="B583" t="s">
        <v>983</v>
      </c>
      <c r="C583" t="s">
        <v>983</v>
      </c>
      <c r="D583">
        <v>0</v>
      </c>
      <c r="E583">
        <v>0</v>
      </c>
      <c r="F583">
        <v>0</v>
      </c>
      <c r="G583">
        <v>512</v>
      </c>
      <c r="H583">
        <v>0</v>
      </c>
      <c r="I583">
        <v>0</v>
      </c>
      <c r="J583">
        <v>0</v>
      </c>
      <c r="K583">
        <v>12</v>
      </c>
      <c r="L583">
        <v>4</v>
      </c>
      <c r="M583">
        <v>160</v>
      </c>
      <c r="N583">
        <v>160</v>
      </c>
      <c r="O583">
        <v>40</v>
      </c>
      <c r="P583">
        <v>120</v>
      </c>
      <c r="Q583">
        <v>0</v>
      </c>
      <c r="R583">
        <v>50</v>
      </c>
      <c r="S583">
        <v>90</v>
      </c>
      <c r="T583">
        <v>0</v>
      </c>
      <c r="U583">
        <v>10</v>
      </c>
      <c r="V583">
        <v>60</v>
      </c>
      <c r="W583">
        <v>0</v>
      </c>
      <c r="X583">
        <v>30</v>
      </c>
      <c r="Y583">
        <v>10</v>
      </c>
      <c r="Z583">
        <v>0</v>
      </c>
      <c r="AA583">
        <v>0</v>
      </c>
      <c r="AB583">
        <v>40</v>
      </c>
      <c r="AC583">
        <v>0</v>
      </c>
      <c r="AD583">
        <v>90</v>
      </c>
      <c r="AE583">
        <v>120</v>
      </c>
      <c r="AF583">
        <v>30</v>
      </c>
      <c r="AG583">
        <v>50</v>
      </c>
      <c r="AH583">
        <v>0</v>
      </c>
      <c r="AI583">
        <v>60</v>
      </c>
      <c r="AJ583">
        <v>556</v>
      </c>
      <c r="AK583">
        <v>557</v>
      </c>
      <c r="AL583">
        <v>558</v>
      </c>
      <c r="AM583">
        <v>558</v>
      </c>
      <c r="AN583">
        <v>36</v>
      </c>
      <c r="AO583">
        <v>36</v>
      </c>
      <c r="AP583">
        <v>36</v>
      </c>
      <c r="AQ583">
        <v>36</v>
      </c>
      <c r="AR583">
        <f t="shared" si="1565"/>
        <v>144</v>
      </c>
      <c r="AS583">
        <f>IF(AND(IFERROR(VLOOKUP(AJ583,Equip!$A:$N,13,FALSE),0)&gt;=5,IFERROR(VLOOKUP(AJ583,Equip!$A:$N,13,FALSE),0)&lt;=9),INT(VLOOKUP(AJ583,Equip!$A:$N,6,FALSE)*SQRT(AN583)),0)</f>
        <v>0</v>
      </c>
      <c r="AT583">
        <f>IF(AND(IFERROR(VLOOKUP(AK583,Equip!$A:$N,13,FALSE),0)&gt;=5,IFERROR(VLOOKUP(AK583,Equip!$A:$N,13,FALSE),0)&lt;=9),INT(VLOOKUP(AK583,Equip!$A:$N,6,FALSE)*SQRT(AO583)),0)</f>
        <v>0</v>
      </c>
      <c r="AU583">
        <f>IF(AND(IFERROR(VLOOKUP(AL583,Equip!$A:$N,13,FALSE),0)&gt;=5,IFERROR(VLOOKUP(AL583,Equip!$A:$N,13,FALSE),0)&lt;=9),INT(VLOOKUP(AL583,Equip!$A:$N,6,FALSE)*SQRT(AP583)),0)</f>
        <v>0</v>
      </c>
      <c r="AV583">
        <f>IF(AND(IFERROR(VLOOKUP(AM583,Equip!$A:$N,13,FALSE),0)&gt;=5,IFERROR(VLOOKUP(AM583,Equip!$A:$N,13,FALSE),0)&lt;=9),INT(VLOOKUP(AM583,Equip!$A:$N,6,FALSE)*SQRT(AQ583)),0)</f>
        <v>0</v>
      </c>
      <c r="AW583">
        <f t="shared" si="1563"/>
        <v>0</v>
      </c>
      <c r="AX583">
        <f t="shared" si="1564"/>
        <v>520</v>
      </c>
    </row>
    <row r="584" spans="1:50">
      <c r="A584">
        <v>619</v>
      </c>
      <c r="B584" t="s">
        <v>971</v>
      </c>
      <c r="C584" t="s">
        <v>971</v>
      </c>
      <c r="D584">
        <v>0</v>
      </c>
      <c r="E584">
        <v>0</v>
      </c>
      <c r="F584">
        <v>0</v>
      </c>
      <c r="G584">
        <v>585</v>
      </c>
      <c r="H584">
        <v>0</v>
      </c>
      <c r="I584">
        <v>0</v>
      </c>
      <c r="J584">
        <v>0</v>
      </c>
      <c r="K584">
        <v>12</v>
      </c>
      <c r="L584">
        <v>4</v>
      </c>
      <c r="M584">
        <v>250</v>
      </c>
      <c r="N584">
        <v>250</v>
      </c>
      <c r="O584">
        <v>120</v>
      </c>
      <c r="P584">
        <v>138</v>
      </c>
      <c r="Q584">
        <v>0</v>
      </c>
      <c r="R584">
        <v>46</v>
      </c>
      <c r="S584">
        <v>100</v>
      </c>
      <c r="T584">
        <v>0</v>
      </c>
      <c r="U584">
        <v>10</v>
      </c>
      <c r="V584">
        <v>100</v>
      </c>
      <c r="W584">
        <v>3</v>
      </c>
      <c r="X584">
        <v>50</v>
      </c>
      <c r="Y584">
        <v>15</v>
      </c>
      <c r="Z584">
        <v>0</v>
      </c>
      <c r="AA584">
        <v>0</v>
      </c>
      <c r="AB584">
        <v>120</v>
      </c>
      <c r="AC584">
        <v>0</v>
      </c>
      <c r="AD584">
        <v>100</v>
      </c>
      <c r="AE584">
        <v>138</v>
      </c>
      <c r="AF584">
        <v>50</v>
      </c>
      <c r="AG584">
        <v>46</v>
      </c>
      <c r="AH584">
        <v>0</v>
      </c>
      <c r="AI584">
        <v>100</v>
      </c>
      <c r="AJ584">
        <v>556</v>
      </c>
      <c r="AK584">
        <v>557</v>
      </c>
      <c r="AL584">
        <v>558</v>
      </c>
      <c r="AM584">
        <v>532</v>
      </c>
      <c r="AN584">
        <v>48</v>
      </c>
      <c r="AO584">
        <v>48</v>
      </c>
      <c r="AP584">
        <v>48</v>
      </c>
      <c r="AQ584">
        <v>0</v>
      </c>
      <c r="AR584">
        <f t="shared" si="1565"/>
        <v>144</v>
      </c>
      <c r="AS584">
        <f>IF(AND(IFERROR(VLOOKUP(AJ584,Equip!$A:$N,13,FALSE),0)&gt;=5,IFERROR(VLOOKUP(AJ584,Equip!$A:$N,13,FALSE),0)&lt;=9),INT(VLOOKUP(AJ584,Equip!$A:$N,6,FALSE)*SQRT(AN584)),0)</f>
        <v>0</v>
      </c>
      <c r="AT584">
        <f>IF(AND(IFERROR(VLOOKUP(AK584,Equip!$A:$N,13,FALSE),0)&gt;=5,IFERROR(VLOOKUP(AK584,Equip!$A:$N,13,FALSE),0)&lt;=9),INT(VLOOKUP(AK584,Equip!$A:$N,6,FALSE)*SQRT(AO584)),0)</f>
        <v>0</v>
      </c>
      <c r="AU584">
        <f>IF(AND(IFERROR(VLOOKUP(AL584,Equip!$A:$N,13,FALSE),0)&gt;=5,IFERROR(VLOOKUP(AL584,Equip!$A:$N,13,FALSE),0)&lt;=9),INT(VLOOKUP(AL584,Equip!$A:$N,6,FALSE)*SQRT(AP584)),0)</f>
        <v>0</v>
      </c>
      <c r="AV584">
        <f>IF(AND(IFERROR(VLOOKUP(AM584,Equip!$A:$N,13,FALSE),0)&gt;=5,IFERROR(VLOOKUP(AM584,Equip!$A:$N,13,FALSE),0)&lt;=9),INT(VLOOKUP(AM584,Equip!$A:$N,6,FALSE)*SQRT(AQ584)),0)</f>
        <v>0</v>
      </c>
      <c r="AW584">
        <f t="shared" si="1563"/>
        <v>0</v>
      </c>
      <c r="AX584">
        <f t="shared" si="1564"/>
        <v>754</v>
      </c>
    </row>
    <row r="585" spans="1:50">
      <c r="A585">
        <v>620</v>
      </c>
      <c r="B585" t="s">
        <v>972</v>
      </c>
      <c r="C585" t="s">
        <v>972</v>
      </c>
      <c r="D585">
        <v>0</v>
      </c>
      <c r="E585">
        <v>0</v>
      </c>
      <c r="F585">
        <v>0</v>
      </c>
      <c r="G585">
        <v>586</v>
      </c>
      <c r="H585">
        <v>0</v>
      </c>
      <c r="I585">
        <v>0</v>
      </c>
      <c r="J585">
        <v>0</v>
      </c>
      <c r="K585">
        <v>12</v>
      </c>
      <c r="L585">
        <v>4</v>
      </c>
      <c r="M585">
        <v>350</v>
      </c>
      <c r="N585">
        <v>350</v>
      </c>
      <c r="O585">
        <v>180</v>
      </c>
      <c r="P585">
        <v>150</v>
      </c>
      <c r="Q585">
        <v>0</v>
      </c>
      <c r="R585">
        <v>53</v>
      </c>
      <c r="S585">
        <v>130</v>
      </c>
      <c r="T585">
        <v>0</v>
      </c>
      <c r="U585">
        <v>10</v>
      </c>
      <c r="V585">
        <v>130</v>
      </c>
      <c r="W585">
        <v>3</v>
      </c>
      <c r="X585">
        <v>70</v>
      </c>
      <c r="Y585">
        <v>15</v>
      </c>
      <c r="Z585">
        <v>0</v>
      </c>
      <c r="AA585">
        <v>0</v>
      </c>
      <c r="AB585">
        <v>180</v>
      </c>
      <c r="AC585">
        <v>0</v>
      </c>
      <c r="AD585">
        <v>130</v>
      </c>
      <c r="AE585">
        <v>150</v>
      </c>
      <c r="AF585">
        <v>70</v>
      </c>
      <c r="AG585">
        <v>53</v>
      </c>
      <c r="AH585">
        <v>0</v>
      </c>
      <c r="AI585">
        <v>130</v>
      </c>
      <c r="AJ585">
        <v>556</v>
      </c>
      <c r="AK585">
        <v>557</v>
      </c>
      <c r="AL585">
        <v>558</v>
      </c>
      <c r="AM585">
        <v>532</v>
      </c>
      <c r="AN585">
        <v>60</v>
      </c>
      <c r="AO585">
        <v>52</v>
      </c>
      <c r="AP585">
        <v>56</v>
      </c>
      <c r="AQ585">
        <v>0</v>
      </c>
      <c r="AR585">
        <f t="shared" si="1565"/>
        <v>168</v>
      </c>
      <c r="AS585">
        <f>IF(AND(IFERROR(VLOOKUP(AJ585,Equip!$A:$N,13,FALSE),0)&gt;=5,IFERROR(VLOOKUP(AJ585,Equip!$A:$N,13,FALSE),0)&lt;=9),INT(VLOOKUP(AJ585,Equip!$A:$N,6,FALSE)*SQRT(AN585)),0)</f>
        <v>0</v>
      </c>
      <c r="AT585">
        <f>IF(AND(IFERROR(VLOOKUP(AK585,Equip!$A:$N,13,FALSE),0)&gt;=5,IFERROR(VLOOKUP(AK585,Equip!$A:$N,13,FALSE),0)&lt;=9),INT(VLOOKUP(AK585,Equip!$A:$N,6,FALSE)*SQRT(AO585)),0)</f>
        <v>0</v>
      </c>
      <c r="AU585">
        <f>IF(AND(IFERROR(VLOOKUP(AL585,Equip!$A:$N,13,FALSE),0)&gt;=5,IFERROR(VLOOKUP(AL585,Equip!$A:$N,13,FALSE),0)&lt;=9),INT(VLOOKUP(AL585,Equip!$A:$N,6,FALSE)*SQRT(AP585)),0)</f>
        <v>0</v>
      </c>
      <c r="AV585">
        <f>IF(AND(IFERROR(VLOOKUP(AM585,Equip!$A:$N,13,FALSE),0)&gt;=5,IFERROR(VLOOKUP(AM585,Equip!$A:$N,13,FALSE),0)&lt;=9),INT(VLOOKUP(AM585,Equip!$A:$N,6,FALSE)*SQRT(AQ585)),0)</f>
        <v>0</v>
      </c>
      <c r="AW585">
        <f t="shared" si="1563"/>
        <v>0</v>
      </c>
      <c r="AX585">
        <f t="shared" si="1564"/>
        <v>993</v>
      </c>
    </row>
    <row r="586" spans="1:50">
      <c r="A586">
        <v>621</v>
      </c>
      <c r="B586" t="s">
        <v>984</v>
      </c>
      <c r="C586" t="s">
        <v>984</v>
      </c>
      <c r="D586">
        <v>0</v>
      </c>
      <c r="E586">
        <v>0</v>
      </c>
      <c r="F586">
        <v>0</v>
      </c>
      <c r="G586">
        <v>501</v>
      </c>
      <c r="H586">
        <v>0</v>
      </c>
      <c r="I586">
        <v>0</v>
      </c>
      <c r="J586">
        <v>0</v>
      </c>
      <c r="K586">
        <v>1</v>
      </c>
      <c r="L586">
        <v>1</v>
      </c>
      <c r="M586">
        <v>39</v>
      </c>
      <c r="N586">
        <v>39</v>
      </c>
      <c r="O586">
        <v>48</v>
      </c>
      <c r="P586">
        <v>30</v>
      </c>
      <c r="Q586">
        <v>76</v>
      </c>
      <c r="R586">
        <v>65</v>
      </c>
      <c r="S586">
        <v>40</v>
      </c>
      <c r="T586">
        <v>80</v>
      </c>
      <c r="U586">
        <v>10</v>
      </c>
      <c r="V586">
        <v>30</v>
      </c>
      <c r="W586">
        <v>1</v>
      </c>
      <c r="X586">
        <v>50</v>
      </c>
      <c r="Y586">
        <v>10</v>
      </c>
      <c r="Z586">
        <v>0</v>
      </c>
      <c r="AA586">
        <v>0</v>
      </c>
      <c r="AB586">
        <v>48</v>
      </c>
      <c r="AC586">
        <v>76</v>
      </c>
      <c r="AD586">
        <v>40</v>
      </c>
      <c r="AE586">
        <v>30</v>
      </c>
      <c r="AF586">
        <v>50</v>
      </c>
      <c r="AG586">
        <v>65</v>
      </c>
      <c r="AH586">
        <v>80</v>
      </c>
      <c r="AI586">
        <v>30</v>
      </c>
      <c r="AJ586">
        <v>502</v>
      </c>
      <c r="AK586">
        <v>502</v>
      </c>
      <c r="AL586">
        <v>559</v>
      </c>
      <c r="AM586">
        <v>-1</v>
      </c>
      <c r="AN586">
        <v>0</v>
      </c>
      <c r="AO586">
        <v>0</v>
      </c>
      <c r="AP586">
        <v>0</v>
      </c>
      <c r="AQ586">
        <v>0</v>
      </c>
      <c r="AR586">
        <f t="shared" si="1565"/>
        <v>0</v>
      </c>
      <c r="AS586">
        <f>IF(AND(IFERROR(VLOOKUP(AJ586,Equip!$A:$N,13,FALSE),0)&gt;=5,IFERROR(VLOOKUP(AJ586,Equip!$A:$N,13,FALSE),0)&lt;=9),INT(VLOOKUP(AJ586,Equip!$A:$N,6,FALSE)*SQRT(AN586)),0)</f>
        <v>0</v>
      </c>
      <c r="AT586">
        <f>IF(AND(IFERROR(VLOOKUP(AK586,Equip!$A:$N,13,FALSE),0)&gt;=5,IFERROR(VLOOKUP(AK586,Equip!$A:$N,13,FALSE),0)&lt;=9),INT(VLOOKUP(AK586,Equip!$A:$N,6,FALSE)*SQRT(AO586)),0)</f>
        <v>0</v>
      </c>
      <c r="AU586">
        <f>IF(AND(IFERROR(VLOOKUP(AL586,Equip!$A:$N,13,FALSE),0)&gt;=5,IFERROR(VLOOKUP(AL586,Equip!$A:$N,13,FALSE),0)&lt;=9),INT(VLOOKUP(AL586,Equip!$A:$N,6,FALSE)*SQRT(AP586)),0)</f>
        <v>0</v>
      </c>
      <c r="AV586">
        <f>IF(AND(IFERROR(VLOOKUP(AM586,Equip!$A:$N,13,FALSE),0)&gt;=5,IFERROR(VLOOKUP(AM586,Equip!$A:$N,13,FALSE),0)&lt;=9),INT(VLOOKUP(AM586,Equip!$A:$N,6,FALSE)*SQRT(AQ586)),0)</f>
        <v>0</v>
      </c>
      <c r="AW586">
        <f t="shared" si="1563"/>
        <v>0</v>
      </c>
      <c r="AX586">
        <f t="shared" si="1564"/>
        <v>408</v>
      </c>
    </row>
    <row r="587" spans="1:50">
      <c r="A587">
        <v>622</v>
      </c>
      <c r="B587" t="s">
        <v>985</v>
      </c>
      <c r="C587" t="s">
        <v>985</v>
      </c>
      <c r="D587">
        <v>0</v>
      </c>
      <c r="E587">
        <v>0</v>
      </c>
      <c r="F587">
        <v>0</v>
      </c>
      <c r="G587">
        <v>502</v>
      </c>
      <c r="H587">
        <v>0</v>
      </c>
      <c r="I587">
        <v>0</v>
      </c>
      <c r="J587">
        <v>0</v>
      </c>
      <c r="K587">
        <v>1</v>
      </c>
      <c r="L587">
        <v>1</v>
      </c>
      <c r="M587">
        <v>43</v>
      </c>
      <c r="N587">
        <v>43</v>
      </c>
      <c r="O587">
        <v>58</v>
      </c>
      <c r="P587">
        <v>36</v>
      </c>
      <c r="Q587">
        <v>88</v>
      </c>
      <c r="R587">
        <v>70</v>
      </c>
      <c r="S587">
        <v>44</v>
      </c>
      <c r="T587">
        <v>90</v>
      </c>
      <c r="U587">
        <v>10</v>
      </c>
      <c r="V587">
        <v>32</v>
      </c>
      <c r="W587">
        <v>1</v>
      </c>
      <c r="X587">
        <v>60</v>
      </c>
      <c r="Y587">
        <v>10</v>
      </c>
      <c r="Z587">
        <v>0</v>
      </c>
      <c r="AA587">
        <v>0</v>
      </c>
      <c r="AB587">
        <v>58</v>
      </c>
      <c r="AC587">
        <v>88</v>
      </c>
      <c r="AD587">
        <v>44</v>
      </c>
      <c r="AE587">
        <v>36</v>
      </c>
      <c r="AF587">
        <v>60</v>
      </c>
      <c r="AG587">
        <v>70</v>
      </c>
      <c r="AH587">
        <v>90</v>
      </c>
      <c r="AI587">
        <v>32</v>
      </c>
      <c r="AJ587">
        <v>502</v>
      </c>
      <c r="AK587">
        <v>502</v>
      </c>
      <c r="AL587">
        <v>559</v>
      </c>
      <c r="AM587">
        <v>-1</v>
      </c>
      <c r="AN587">
        <v>0</v>
      </c>
      <c r="AO587">
        <v>0</v>
      </c>
      <c r="AP587">
        <v>0</v>
      </c>
      <c r="AQ587">
        <v>0</v>
      </c>
      <c r="AR587">
        <f t="shared" si="1565"/>
        <v>0</v>
      </c>
      <c r="AS587">
        <f>IF(AND(IFERROR(VLOOKUP(AJ587,Equip!$A:$N,13,FALSE),0)&gt;=5,IFERROR(VLOOKUP(AJ587,Equip!$A:$N,13,FALSE),0)&lt;=9),INT(VLOOKUP(AJ587,Equip!$A:$N,6,FALSE)*SQRT(AN587)),0)</f>
        <v>0</v>
      </c>
      <c r="AT587">
        <f>IF(AND(IFERROR(VLOOKUP(AK587,Equip!$A:$N,13,FALSE),0)&gt;=5,IFERROR(VLOOKUP(AK587,Equip!$A:$N,13,FALSE),0)&lt;=9),INT(VLOOKUP(AK587,Equip!$A:$N,6,FALSE)*SQRT(AO587)),0)</f>
        <v>0</v>
      </c>
      <c r="AU587">
        <f>IF(AND(IFERROR(VLOOKUP(AL587,Equip!$A:$N,13,FALSE),0)&gt;=5,IFERROR(VLOOKUP(AL587,Equip!$A:$N,13,FALSE),0)&lt;=9),INT(VLOOKUP(AL587,Equip!$A:$N,6,FALSE)*SQRT(AP587)),0)</f>
        <v>0</v>
      </c>
      <c r="AV587">
        <f>IF(AND(IFERROR(VLOOKUP(AM587,Equip!$A:$N,13,FALSE),0)&gt;=5,IFERROR(VLOOKUP(AM587,Equip!$A:$N,13,FALSE),0)&lt;=9),INT(VLOOKUP(AM587,Equip!$A:$N,6,FALSE)*SQRT(AQ587)),0)</f>
        <v>0</v>
      </c>
      <c r="AW587">
        <f t="shared" si="1563"/>
        <v>0</v>
      </c>
      <c r="AX587">
        <f t="shared" si="1564"/>
        <v>461</v>
      </c>
    </row>
    <row r="588" spans="1:50">
      <c r="A588">
        <v>623</v>
      </c>
      <c r="B588" t="s">
        <v>986</v>
      </c>
      <c r="C588" t="s">
        <v>986</v>
      </c>
      <c r="D588">
        <v>0</v>
      </c>
      <c r="E588">
        <v>0</v>
      </c>
      <c r="F588">
        <v>0</v>
      </c>
      <c r="G588">
        <v>503</v>
      </c>
      <c r="H588">
        <v>0</v>
      </c>
      <c r="I588">
        <v>0</v>
      </c>
      <c r="J588">
        <v>0</v>
      </c>
      <c r="K588">
        <v>1</v>
      </c>
      <c r="L588">
        <v>1</v>
      </c>
      <c r="M588">
        <v>46</v>
      </c>
      <c r="N588">
        <v>46</v>
      </c>
      <c r="O588">
        <v>58</v>
      </c>
      <c r="P588">
        <v>36</v>
      </c>
      <c r="Q588">
        <v>76</v>
      </c>
      <c r="R588">
        <v>75</v>
      </c>
      <c r="S588">
        <v>48</v>
      </c>
      <c r="T588">
        <v>98</v>
      </c>
      <c r="U588">
        <v>10</v>
      </c>
      <c r="V588">
        <v>34</v>
      </c>
      <c r="W588">
        <v>1</v>
      </c>
      <c r="X588">
        <v>70</v>
      </c>
      <c r="Y588">
        <v>10</v>
      </c>
      <c r="Z588">
        <v>0</v>
      </c>
      <c r="AA588">
        <v>0</v>
      </c>
      <c r="AB588">
        <v>58</v>
      </c>
      <c r="AC588">
        <v>76</v>
      </c>
      <c r="AD588">
        <v>48</v>
      </c>
      <c r="AE588">
        <v>36</v>
      </c>
      <c r="AF588">
        <v>70</v>
      </c>
      <c r="AG588">
        <v>75</v>
      </c>
      <c r="AH588">
        <v>98</v>
      </c>
      <c r="AI588">
        <v>34</v>
      </c>
      <c r="AJ588">
        <v>502</v>
      </c>
      <c r="AK588">
        <v>559</v>
      </c>
      <c r="AL588">
        <v>545</v>
      </c>
      <c r="AM588">
        <v>-1</v>
      </c>
      <c r="AN588">
        <v>0</v>
      </c>
      <c r="AO588">
        <v>0</v>
      </c>
      <c r="AP588">
        <v>0</v>
      </c>
      <c r="AQ588">
        <v>0</v>
      </c>
      <c r="AR588">
        <f t="shared" si="1565"/>
        <v>0</v>
      </c>
      <c r="AS588">
        <f>IF(AND(IFERROR(VLOOKUP(AJ588,Equip!$A:$N,13,FALSE),0)&gt;=5,IFERROR(VLOOKUP(AJ588,Equip!$A:$N,13,FALSE),0)&lt;=9),INT(VLOOKUP(AJ588,Equip!$A:$N,6,FALSE)*SQRT(AN588)),0)</f>
        <v>0</v>
      </c>
      <c r="AT588">
        <f>IF(AND(IFERROR(VLOOKUP(AK588,Equip!$A:$N,13,FALSE),0)&gt;=5,IFERROR(VLOOKUP(AK588,Equip!$A:$N,13,FALSE),0)&lt;=9),INT(VLOOKUP(AK588,Equip!$A:$N,6,FALSE)*SQRT(AO588)),0)</f>
        <v>0</v>
      </c>
      <c r="AU588">
        <f>IF(AND(IFERROR(VLOOKUP(AL588,Equip!$A:$N,13,FALSE),0)&gt;=5,IFERROR(VLOOKUP(AL588,Equip!$A:$N,13,FALSE),0)&lt;=9),INT(VLOOKUP(AL588,Equip!$A:$N,6,FALSE)*SQRT(AP588)),0)</f>
        <v>0</v>
      </c>
      <c r="AV588">
        <f>IF(AND(IFERROR(VLOOKUP(AM588,Equip!$A:$N,13,FALSE),0)&gt;=5,IFERROR(VLOOKUP(AM588,Equip!$A:$N,13,FALSE),0)&lt;=9),INT(VLOOKUP(AM588,Equip!$A:$N,6,FALSE)*SQRT(AQ588)),0)</f>
        <v>0</v>
      </c>
      <c r="AW588">
        <f t="shared" si="1563"/>
        <v>0</v>
      </c>
      <c r="AX588">
        <f t="shared" si="1564"/>
        <v>471</v>
      </c>
    </row>
    <row r="589" spans="1:50">
      <c r="A589">
        <v>624</v>
      </c>
      <c r="B589" t="s">
        <v>987</v>
      </c>
      <c r="C589" t="s">
        <v>987</v>
      </c>
      <c r="D589">
        <v>0</v>
      </c>
      <c r="E589">
        <v>0</v>
      </c>
      <c r="F589">
        <v>0</v>
      </c>
      <c r="G589">
        <v>504</v>
      </c>
      <c r="H589">
        <v>0</v>
      </c>
      <c r="I589">
        <v>0</v>
      </c>
      <c r="J589">
        <v>0</v>
      </c>
      <c r="K589">
        <v>1</v>
      </c>
      <c r="L589">
        <v>1</v>
      </c>
      <c r="M589">
        <v>49</v>
      </c>
      <c r="N589">
        <v>49</v>
      </c>
      <c r="O589">
        <v>64</v>
      </c>
      <c r="P589">
        <v>48</v>
      </c>
      <c r="Q589">
        <v>98</v>
      </c>
      <c r="R589">
        <v>80</v>
      </c>
      <c r="S589">
        <v>48</v>
      </c>
      <c r="T589">
        <v>98</v>
      </c>
      <c r="U589">
        <v>10</v>
      </c>
      <c r="V589">
        <v>36</v>
      </c>
      <c r="W589">
        <v>1</v>
      </c>
      <c r="X589">
        <v>80</v>
      </c>
      <c r="Y589">
        <v>10</v>
      </c>
      <c r="Z589">
        <v>0</v>
      </c>
      <c r="AA589">
        <v>0</v>
      </c>
      <c r="AB589">
        <v>64</v>
      </c>
      <c r="AC589">
        <v>98</v>
      </c>
      <c r="AD589">
        <v>48</v>
      </c>
      <c r="AE589">
        <v>48</v>
      </c>
      <c r="AF589">
        <v>80</v>
      </c>
      <c r="AG589">
        <v>80</v>
      </c>
      <c r="AH589">
        <v>98</v>
      </c>
      <c r="AI589">
        <v>36</v>
      </c>
      <c r="AJ589">
        <v>502</v>
      </c>
      <c r="AK589">
        <v>502</v>
      </c>
      <c r="AL589">
        <v>559</v>
      </c>
      <c r="AM589">
        <v>-1</v>
      </c>
      <c r="AN589">
        <v>0</v>
      </c>
      <c r="AO589">
        <v>0</v>
      </c>
      <c r="AP589">
        <v>0</v>
      </c>
      <c r="AQ589">
        <v>0</v>
      </c>
      <c r="AR589">
        <f t="shared" si="1565"/>
        <v>0</v>
      </c>
      <c r="AS589">
        <f>IF(AND(IFERROR(VLOOKUP(AJ589,Equip!$A:$N,13,FALSE),0)&gt;=5,IFERROR(VLOOKUP(AJ589,Equip!$A:$N,13,FALSE),0)&lt;=9),INT(VLOOKUP(AJ589,Equip!$A:$N,6,FALSE)*SQRT(AN589)),0)</f>
        <v>0</v>
      </c>
      <c r="AT589">
        <f>IF(AND(IFERROR(VLOOKUP(AK589,Equip!$A:$N,13,FALSE),0)&gt;=5,IFERROR(VLOOKUP(AK589,Equip!$A:$N,13,FALSE),0)&lt;=9),INT(VLOOKUP(AK589,Equip!$A:$N,6,FALSE)*SQRT(AO589)),0)</f>
        <v>0</v>
      </c>
      <c r="AU589">
        <f>IF(AND(IFERROR(VLOOKUP(AL589,Equip!$A:$N,13,FALSE),0)&gt;=5,IFERROR(VLOOKUP(AL589,Equip!$A:$N,13,FALSE),0)&lt;=9),INT(VLOOKUP(AL589,Equip!$A:$N,6,FALSE)*SQRT(AP589)),0)</f>
        <v>0</v>
      </c>
      <c r="AV589">
        <f>IF(AND(IFERROR(VLOOKUP(AM589,Equip!$A:$N,13,FALSE),0)&gt;=5,IFERROR(VLOOKUP(AM589,Equip!$A:$N,13,FALSE),0)&lt;=9),INT(VLOOKUP(AM589,Equip!$A:$N,6,FALSE)*SQRT(AQ589)),0)</f>
        <v>0</v>
      </c>
      <c r="AW589">
        <f t="shared" si="1563"/>
        <v>0</v>
      </c>
      <c r="AX589">
        <f t="shared" si="1564"/>
        <v>521</v>
      </c>
    </row>
    <row r="590" spans="1:50">
      <c r="A590">
        <v>625</v>
      </c>
      <c r="B590" t="s">
        <v>988</v>
      </c>
      <c r="C590" t="s">
        <v>988</v>
      </c>
      <c r="D590">
        <v>0</v>
      </c>
      <c r="E590">
        <v>1970</v>
      </c>
      <c r="F590">
        <v>1085</v>
      </c>
      <c r="G590">
        <v>625</v>
      </c>
      <c r="H590">
        <v>2</v>
      </c>
      <c r="I590">
        <v>0</v>
      </c>
      <c r="J590">
        <v>1</v>
      </c>
      <c r="K590">
        <v>10</v>
      </c>
      <c r="L590">
        <v>4</v>
      </c>
      <c r="M590">
        <v>350</v>
      </c>
      <c r="N590">
        <v>350</v>
      </c>
      <c r="O590">
        <v>75</v>
      </c>
      <c r="P590">
        <v>150</v>
      </c>
      <c r="Q590">
        <v>88</v>
      </c>
      <c r="R590">
        <v>60</v>
      </c>
      <c r="S590">
        <v>70</v>
      </c>
      <c r="T590">
        <v>98</v>
      </c>
      <c r="U590">
        <v>5</v>
      </c>
      <c r="V590">
        <v>120</v>
      </c>
      <c r="W590">
        <v>2</v>
      </c>
      <c r="X590">
        <v>70</v>
      </c>
      <c r="Y590">
        <v>10</v>
      </c>
      <c r="Z590">
        <v>125</v>
      </c>
      <c r="AA590">
        <v>125</v>
      </c>
      <c r="AB590">
        <v>75</v>
      </c>
      <c r="AC590">
        <v>88</v>
      </c>
      <c r="AD590">
        <v>70</v>
      </c>
      <c r="AE590">
        <v>150</v>
      </c>
      <c r="AF590">
        <v>70</v>
      </c>
      <c r="AG590">
        <v>60</v>
      </c>
      <c r="AH590">
        <v>98</v>
      </c>
      <c r="AI590">
        <v>120</v>
      </c>
      <c r="AJ590">
        <v>550</v>
      </c>
      <c r="AK590">
        <v>550</v>
      </c>
      <c r="AL590">
        <v>541</v>
      </c>
      <c r="AM590">
        <v>554</v>
      </c>
      <c r="AN590">
        <v>0</v>
      </c>
      <c r="AO590">
        <v>0</v>
      </c>
      <c r="AP590">
        <v>0</v>
      </c>
      <c r="AQ590">
        <v>32</v>
      </c>
      <c r="AR590">
        <f t="shared" si="1565"/>
        <v>32</v>
      </c>
      <c r="AS590">
        <f>IF(AND(IFERROR(VLOOKUP(AJ590,Equip!$A:$N,13,FALSE),0)&gt;=5,IFERROR(VLOOKUP(AJ590,Equip!$A:$N,13,FALSE),0)&lt;=9),INT(VLOOKUP(AJ590,Equip!$A:$N,6,FALSE)*SQRT(AN590)),0)</f>
        <v>0</v>
      </c>
      <c r="AT590">
        <f>IF(AND(IFERROR(VLOOKUP(AK590,Equip!$A:$N,13,FALSE),0)&gt;=5,IFERROR(VLOOKUP(AK590,Equip!$A:$N,13,FALSE),0)&lt;=9),INT(VLOOKUP(AK590,Equip!$A:$N,6,FALSE)*SQRT(AO590)),0)</f>
        <v>0</v>
      </c>
      <c r="AU590">
        <f>IF(AND(IFERROR(VLOOKUP(AL590,Equip!$A:$N,13,FALSE),0)&gt;=5,IFERROR(VLOOKUP(AL590,Equip!$A:$N,13,FALSE),0)&lt;=9),INT(VLOOKUP(AL590,Equip!$A:$N,6,FALSE)*SQRT(AP590)),0)</f>
        <v>0</v>
      </c>
      <c r="AV590">
        <f>IF(AND(IFERROR(VLOOKUP(AM590,Equip!$A:$N,13,FALSE),0)&gt;=5,IFERROR(VLOOKUP(AM590,Equip!$A:$N,13,FALSE),0)&lt;=9),INT(VLOOKUP(AM590,Equip!$A:$N,6,FALSE)*SQRT(AQ590)),0)</f>
        <v>0</v>
      </c>
      <c r="AW590">
        <f t="shared" si="1563"/>
        <v>0</v>
      </c>
      <c r="AX590">
        <f t="shared" si="1564"/>
        <v>1011</v>
      </c>
    </row>
    <row r="591" spans="1:50">
      <c r="A591">
        <v>626</v>
      </c>
      <c r="B591" t="s">
        <v>988</v>
      </c>
      <c r="C591" t="s">
        <v>988</v>
      </c>
      <c r="D591">
        <v>0</v>
      </c>
      <c r="E591">
        <v>1970</v>
      </c>
      <c r="F591">
        <v>1085</v>
      </c>
      <c r="G591">
        <v>625</v>
      </c>
      <c r="H591">
        <v>2</v>
      </c>
      <c r="I591">
        <v>0</v>
      </c>
      <c r="J591">
        <v>1</v>
      </c>
      <c r="K591">
        <v>10</v>
      </c>
      <c r="L591">
        <v>4</v>
      </c>
      <c r="M591">
        <v>350</v>
      </c>
      <c r="N591">
        <v>350</v>
      </c>
      <c r="O591">
        <v>95</v>
      </c>
      <c r="P591">
        <v>175</v>
      </c>
      <c r="Q591">
        <v>99</v>
      </c>
      <c r="R591">
        <v>65</v>
      </c>
      <c r="S591">
        <v>80</v>
      </c>
      <c r="T591">
        <v>98</v>
      </c>
      <c r="U591">
        <v>5</v>
      </c>
      <c r="V591">
        <v>140</v>
      </c>
      <c r="W591">
        <v>2</v>
      </c>
      <c r="X591">
        <v>80</v>
      </c>
      <c r="Y591">
        <v>15</v>
      </c>
      <c r="Z591">
        <v>135</v>
      </c>
      <c r="AA591">
        <v>135</v>
      </c>
      <c r="AB591">
        <v>95</v>
      </c>
      <c r="AC591">
        <v>99</v>
      </c>
      <c r="AD591">
        <v>80</v>
      </c>
      <c r="AE591">
        <v>175</v>
      </c>
      <c r="AF591">
        <v>80</v>
      </c>
      <c r="AG591">
        <v>65</v>
      </c>
      <c r="AH591">
        <v>98</v>
      </c>
      <c r="AI591">
        <v>140</v>
      </c>
      <c r="AJ591">
        <v>550</v>
      </c>
      <c r="AK591">
        <v>550</v>
      </c>
      <c r="AL591">
        <v>541</v>
      </c>
      <c r="AM591">
        <v>554</v>
      </c>
      <c r="AN591">
        <v>0</v>
      </c>
      <c r="AO591">
        <v>0</v>
      </c>
      <c r="AP591">
        <v>0</v>
      </c>
      <c r="AQ591">
        <v>64</v>
      </c>
      <c r="AR591">
        <f t="shared" si="1565"/>
        <v>64</v>
      </c>
      <c r="AS591">
        <f>IF(AND(IFERROR(VLOOKUP(AJ591,Equip!$A:$N,13,FALSE),0)&gt;=5,IFERROR(VLOOKUP(AJ591,Equip!$A:$N,13,FALSE),0)&lt;=9),INT(VLOOKUP(AJ591,Equip!$A:$N,6,FALSE)*SQRT(AN591)),0)</f>
        <v>0</v>
      </c>
      <c r="AT591">
        <f>IF(AND(IFERROR(VLOOKUP(AK591,Equip!$A:$N,13,FALSE),0)&gt;=5,IFERROR(VLOOKUP(AK591,Equip!$A:$N,13,FALSE),0)&lt;=9),INT(VLOOKUP(AK591,Equip!$A:$N,6,FALSE)*SQRT(AO591)),0)</f>
        <v>0</v>
      </c>
      <c r="AU591">
        <f>IF(AND(IFERROR(VLOOKUP(AL591,Equip!$A:$N,13,FALSE),0)&gt;=5,IFERROR(VLOOKUP(AL591,Equip!$A:$N,13,FALSE),0)&lt;=9),INT(VLOOKUP(AL591,Equip!$A:$N,6,FALSE)*SQRT(AP591)),0)</f>
        <v>0</v>
      </c>
      <c r="AV591">
        <f>IF(AND(IFERROR(VLOOKUP(AM591,Equip!$A:$N,13,FALSE),0)&gt;=5,IFERROR(VLOOKUP(AM591,Equip!$A:$N,13,FALSE),0)&lt;=9),INT(VLOOKUP(AM591,Equip!$A:$N,6,FALSE)*SQRT(AQ591)),0)</f>
        <v>0</v>
      </c>
      <c r="AW591">
        <f t="shared" si="1563"/>
        <v>0</v>
      </c>
      <c r="AX591">
        <f t="shared" si="1564"/>
        <v>1102</v>
      </c>
    </row>
    <row r="592" spans="1:50">
      <c r="A592">
        <v>627</v>
      </c>
      <c r="B592" t="s">
        <v>988</v>
      </c>
      <c r="C592" t="s">
        <v>988</v>
      </c>
      <c r="D592">
        <v>0</v>
      </c>
      <c r="E592">
        <v>1970</v>
      </c>
      <c r="F592">
        <v>1085</v>
      </c>
      <c r="G592">
        <v>625</v>
      </c>
      <c r="H592">
        <v>2</v>
      </c>
      <c r="I592">
        <v>0</v>
      </c>
      <c r="J592">
        <v>1</v>
      </c>
      <c r="K592">
        <v>10</v>
      </c>
      <c r="L592">
        <v>4</v>
      </c>
      <c r="M592">
        <v>350</v>
      </c>
      <c r="N592">
        <v>350</v>
      </c>
      <c r="O592">
        <v>115</v>
      </c>
      <c r="P592">
        <v>195</v>
      </c>
      <c r="Q592">
        <v>98</v>
      </c>
      <c r="R592">
        <v>75</v>
      </c>
      <c r="S592">
        <v>90</v>
      </c>
      <c r="T592">
        <v>98</v>
      </c>
      <c r="U592">
        <v>5</v>
      </c>
      <c r="V592">
        <v>160</v>
      </c>
      <c r="W592">
        <v>2</v>
      </c>
      <c r="X592">
        <v>90</v>
      </c>
      <c r="Y592">
        <v>20</v>
      </c>
      <c r="Z592">
        <v>145</v>
      </c>
      <c r="AA592">
        <v>145</v>
      </c>
      <c r="AB592">
        <v>115</v>
      </c>
      <c r="AC592">
        <v>98</v>
      </c>
      <c r="AD592">
        <v>90</v>
      </c>
      <c r="AE592">
        <v>195</v>
      </c>
      <c r="AF592">
        <v>90</v>
      </c>
      <c r="AG592">
        <v>75</v>
      </c>
      <c r="AH592">
        <v>98</v>
      </c>
      <c r="AI592">
        <v>160</v>
      </c>
      <c r="AJ592">
        <v>550</v>
      </c>
      <c r="AK592">
        <v>550</v>
      </c>
      <c r="AL592">
        <v>541</v>
      </c>
      <c r="AM592">
        <v>554</v>
      </c>
      <c r="AN592">
        <v>0</v>
      </c>
      <c r="AO592">
        <v>0</v>
      </c>
      <c r="AP592">
        <v>0</v>
      </c>
      <c r="AQ592">
        <v>96</v>
      </c>
      <c r="AR592">
        <f t="shared" si="1565"/>
        <v>96</v>
      </c>
      <c r="AS592">
        <f>IF(AND(IFERROR(VLOOKUP(AJ592,Equip!$A:$N,13,FALSE),0)&gt;=5,IFERROR(VLOOKUP(AJ592,Equip!$A:$N,13,FALSE),0)&lt;=9),INT(VLOOKUP(AJ592,Equip!$A:$N,6,FALSE)*SQRT(AN592)),0)</f>
        <v>0</v>
      </c>
      <c r="AT592">
        <f>IF(AND(IFERROR(VLOOKUP(AK592,Equip!$A:$N,13,FALSE),0)&gt;=5,IFERROR(VLOOKUP(AK592,Equip!$A:$N,13,FALSE),0)&lt;=9),INT(VLOOKUP(AK592,Equip!$A:$N,6,FALSE)*SQRT(AO592)),0)</f>
        <v>0</v>
      </c>
      <c r="AU592">
        <f>IF(AND(IFERROR(VLOOKUP(AL592,Equip!$A:$N,13,FALSE),0)&gt;=5,IFERROR(VLOOKUP(AL592,Equip!$A:$N,13,FALSE),0)&lt;=9),INT(VLOOKUP(AL592,Equip!$A:$N,6,FALSE)*SQRT(AP592)),0)</f>
        <v>0</v>
      </c>
      <c r="AV592">
        <f>IF(AND(IFERROR(VLOOKUP(AM592,Equip!$A:$N,13,FALSE),0)&gt;=5,IFERROR(VLOOKUP(AM592,Equip!$A:$N,13,FALSE),0)&lt;=9),INT(VLOOKUP(AM592,Equip!$A:$N,6,FALSE)*SQRT(AQ592)),0)</f>
        <v>0</v>
      </c>
      <c r="AW592">
        <f t="shared" si="1563"/>
        <v>0</v>
      </c>
      <c r="AX592">
        <f t="shared" si="1564"/>
        <v>1181</v>
      </c>
    </row>
    <row r="593" spans="1:50">
      <c r="A593">
        <v>628</v>
      </c>
      <c r="B593" t="s">
        <v>989</v>
      </c>
      <c r="C593" t="s">
        <v>989</v>
      </c>
      <c r="D593">
        <v>0</v>
      </c>
      <c r="E593">
        <v>1459</v>
      </c>
      <c r="F593">
        <v>830</v>
      </c>
      <c r="G593">
        <v>628</v>
      </c>
      <c r="H593">
        <v>1</v>
      </c>
      <c r="I593">
        <v>0</v>
      </c>
      <c r="J593">
        <v>2</v>
      </c>
      <c r="K593">
        <v>1</v>
      </c>
      <c r="L593">
        <v>1</v>
      </c>
      <c r="M593">
        <v>255</v>
      </c>
      <c r="N593">
        <v>255</v>
      </c>
      <c r="O593">
        <v>130</v>
      </c>
      <c r="P593">
        <v>273</v>
      </c>
      <c r="Q593">
        <v>85</v>
      </c>
      <c r="R593">
        <v>80</v>
      </c>
      <c r="S593">
        <v>300</v>
      </c>
      <c r="T593">
        <v>80</v>
      </c>
      <c r="U593">
        <v>10</v>
      </c>
      <c r="V593">
        <v>70</v>
      </c>
      <c r="W593">
        <v>1</v>
      </c>
      <c r="X593">
        <v>80</v>
      </c>
      <c r="Y593">
        <v>10</v>
      </c>
      <c r="Z593">
        <v>50</v>
      </c>
      <c r="AA593">
        <v>65</v>
      </c>
      <c r="AB593">
        <v>130</v>
      </c>
      <c r="AC593">
        <v>85</v>
      </c>
      <c r="AD593">
        <v>300</v>
      </c>
      <c r="AE593">
        <v>273</v>
      </c>
      <c r="AF593">
        <v>80</v>
      </c>
      <c r="AG593">
        <v>80</v>
      </c>
      <c r="AH593">
        <v>80</v>
      </c>
      <c r="AI593">
        <v>70</v>
      </c>
      <c r="AJ593">
        <v>553</v>
      </c>
      <c r="AK593">
        <v>553</v>
      </c>
      <c r="AL593">
        <v>531</v>
      </c>
      <c r="AM593">
        <v>0</v>
      </c>
      <c r="AN593">
        <v>0</v>
      </c>
      <c r="AO593">
        <v>0</v>
      </c>
      <c r="AP593">
        <v>0</v>
      </c>
      <c r="AQ593">
        <v>0</v>
      </c>
      <c r="AR593">
        <f t="shared" si="1565"/>
        <v>0</v>
      </c>
      <c r="AS593">
        <f>IF(AND(IFERROR(VLOOKUP(AJ593,Equip!$A:$N,13,FALSE),0)&gt;=5,IFERROR(VLOOKUP(AJ593,Equip!$A:$N,13,FALSE),0)&lt;=9),INT(VLOOKUP(AJ593,Equip!$A:$N,6,FALSE)*SQRT(AN593)),0)</f>
        <v>0</v>
      </c>
      <c r="AT593">
        <f>IF(AND(IFERROR(VLOOKUP(AK593,Equip!$A:$N,13,FALSE),0)&gt;=5,IFERROR(VLOOKUP(AK593,Equip!$A:$N,13,FALSE),0)&lt;=9),INT(VLOOKUP(AK593,Equip!$A:$N,6,FALSE)*SQRT(AO593)),0)</f>
        <v>0</v>
      </c>
      <c r="AU593">
        <f>IF(AND(IFERROR(VLOOKUP(AL593,Equip!$A:$N,13,FALSE),0)&gt;=5,IFERROR(VLOOKUP(AL593,Equip!$A:$N,13,FALSE),0)&lt;=9),INT(VLOOKUP(AL593,Equip!$A:$N,6,FALSE)*SQRT(AP593)),0)</f>
        <v>0</v>
      </c>
      <c r="AV593">
        <f>IF(AND(IFERROR(VLOOKUP(AM593,Equip!$A:$N,13,FALSE),0)&gt;=5,IFERROR(VLOOKUP(AM593,Equip!$A:$N,13,FALSE),0)&lt;=9),INT(VLOOKUP(AM593,Equip!$A:$N,6,FALSE)*SQRT(AQ593)),0)</f>
        <v>0</v>
      </c>
      <c r="AW593">
        <f t="shared" si="1563"/>
        <v>0</v>
      </c>
      <c r="AX593">
        <f t="shared" si="1564"/>
        <v>1273</v>
      </c>
    </row>
    <row r="594" spans="1:50">
      <c r="A594">
        <v>629</v>
      </c>
      <c r="B594" t="s">
        <v>989</v>
      </c>
      <c r="C594" t="s">
        <v>989</v>
      </c>
      <c r="D594">
        <v>0</v>
      </c>
      <c r="E594">
        <v>1459</v>
      </c>
      <c r="F594">
        <v>830</v>
      </c>
      <c r="G594">
        <v>628</v>
      </c>
      <c r="H594">
        <v>1</v>
      </c>
      <c r="I594">
        <v>0</v>
      </c>
      <c r="J594">
        <v>2</v>
      </c>
      <c r="K594">
        <v>1</v>
      </c>
      <c r="L594">
        <v>1</v>
      </c>
      <c r="M594">
        <v>255</v>
      </c>
      <c r="N594">
        <v>255</v>
      </c>
      <c r="O594">
        <v>160</v>
      </c>
      <c r="P594">
        <v>303</v>
      </c>
      <c r="Q594">
        <v>90</v>
      </c>
      <c r="R594">
        <v>88</v>
      </c>
      <c r="S594">
        <v>360</v>
      </c>
      <c r="T594">
        <v>88</v>
      </c>
      <c r="U594">
        <v>10</v>
      </c>
      <c r="V594">
        <v>80</v>
      </c>
      <c r="W594">
        <v>1</v>
      </c>
      <c r="X594">
        <v>85</v>
      </c>
      <c r="Y594">
        <v>15</v>
      </c>
      <c r="Z594">
        <v>50</v>
      </c>
      <c r="AA594">
        <v>65</v>
      </c>
      <c r="AB594">
        <v>160</v>
      </c>
      <c r="AC594">
        <v>90</v>
      </c>
      <c r="AD594">
        <v>360</v>
      </c>
      <c r="AE594">
        <v>303</v>
      </c>
      <c r="AF594">
        <v>85</v>
      </c>
      <c r="AG594">
        <v>88</v>
      </c>
      <c r="AH594">
        <v>88</v>
      </c>
      <c r="AI594">
        <v>80</v>
      </c>
      <c r="AJ594">
        <v>553</v>
      </c>
      <c r="AK594">
        <v>553</v>
      </c>
      <c r="AL594">
        <v>531</v>
      </c>
      <c r="AM594">
        <v>0</v>
      </c>
      <c r="AN594">
        <v>0</v>
      </c>
      <c r="AO594">
        <v>0</v>
      </c>
      <c r="AP594">
        <v>0</v>
      </c>
      <c r="AQ594">
        <v>0</v>
      </c>
      <c r="AR594">
        <f t="shared" si="1565"/>
        <v>0</v>
      </c>
      <c r="AS594">
        <f>IF(AND(IFERROR(VLOOKUP(AJ594,Equip!$A:$N,13,FALSE),0)&gt;=5,IFERROR(VLOOKUP(AJ594,Equip!$A:$N,13,FALSE),0)&lt;=9),INT(VLOOKUP(AJ594,Equip!$A:$N,6,FALSE)*SQRT(AN594)),0)</f>
        <v>0</v>
      </c>
      <c r="AT594">
        <f>IF(AND(IFERROR(VLOOKUP(AK594,Equip!$A:$N,13,FALSE),0)&gt;=5,IFERROR(VLOOKUP(AK594,Equip!$A:$N,13,FALSE),0)&lt;=9),INT(VLOOKUP(AK594,Equip!$A:$N,6,FALSE)*SQRT(AO594)),0)</f>
        <v>0</v>
      </c>
      <c r="AU594">
        <f>IF(AND(IFERROR(VLOOKUP(AL594,Equip!$A:$N,13,FALSE),0)&gt;=5,IFERROR(VLOOKUP(AL594,Equip!$A:$N,13,FALSE),0)&lt;=9),INT(VLOOKUP(AL594,Equip!$A:$N,6,FALSE)*SQRT(AP594)),0)</f>
        <v>0</v>
      </c>
      <c r="AV594">
        <f>IF(AND(IFERROR(VLOOKUP(AM594,Equip!$A:$N,13,FALSE),0)&gt;=5,IFERROR(VLOOKUP(AM594,Equip!$A:$N,13,FALSE),0)&lt;=9),INT(VLOOKUP(AM594,Equip!$A:$N,6,FALSE)*SQRT(AQ594)),0)</f>
        <v>0</v>
      </c>
      <c r="AW594">
        <f t="shared" si="1563"/>
        <v>0</v>
      </c>
      <c r="AX594">
        <f t="shared" si="1564"/>
        <v>1424</v>
      </c>
    </row>
    <row r="595" spans="1:50">
      <c r="A595">
        <v>630</v>
      </c>
      <c r="B595" t="s">
        <v>989</v>
      </c>
      <c r="C595" t="s">
        <v>989</v>
      </c>
      <c r="D595">
        <v>0</v>
      </c>
      <c r="E595">
        <v>1459</v>
      </c>
      <c r="F595">
        <v>830</v>
      </c>
      <c r="G595">
        <v>628</v>
      </c>
      <c r="H595">
        <v>1</v>
      </c>
      <c r="I595">
        <v>0</v>
      </c>
      <c r="J595">
        <v>2</v>
      </c>
      <c r="K595">
        <v>1</v>
      </c>
      <c r="L595">
        <v>1</v>
      </c>
      <c r="M595">
        <v>255</v>
      </c>
      <c r="N595">
        <v>255</v>
      </c>
      <c r="O595">
        <v>190</v>
      </c>
      <c r="P595">
        <v>333</v>
      </c>
      <c r="Q595">
        <v>95</v>
      </c>
      <c r="R595">
        <v>98</v>
      </c>
      <c r="S595">
        <v>390</v>
      </c>
      <c r="T595">
        <v>98</v>
      </c>
      <c r="U595">
        <v>10</v>
      </c>
      <c r="V595">
        <v>90</v>
      </c>
      <c r="W595">
        <v>1</v>
      </c>
      <c r="X595">
        <v>90</v>
      </c>
      <c r="Y595">
        <v>20</v>
      </c>
      <c r="Z595">
        <v>50</v>
      </c>
      <c r="AA595">
        <v>65</v>
      </c>
      <c r="AB595">
        <v>190</v>
      </c>
      <c r="AC595">
        <v>95</v>
      </c>
      <c r="AD595">
        <v>390</v>
      </c>
      <c r="AE595">
        <v>333</v>
      </c>
      <c r="AF595">
        <v>90</v>
      </c>
      <c r="AG595">
        <v>98</v>
      </c>
      <c r="AH595">
        <v>98</v>
      </c>
      <c r="AI595">
        <v>90</v>
      </c>
      <c r="AJ595">
        <v>553</v>
      </c>
      <c r="AK595">
        <v>553</v>
      </c>
      <c r="AL595">
        <v>531</v>
      </c>
      <c r="AM595">
        <v>0</v>
      </c>
      <c r="AN595">
        <v>0</v>
      </c>
      <c r="AO595">
        <v>0</v>
      </c>
      <c r="AP595">
        <v>0</v>
      </c>
      <c r="AQ595">
        <v>0</v>
      </c>
      <c r="AR595">
        <f t="shared" si="1565"/>
        <v>0</v>
      </c>
      <c r="AS595">
        <f>IF(AND(IFERROR(VLOOKUP(AJ595,Equip!$A:$N,13,FALSE),0)&gt;=5,IFERROR(VLOOKUP(AJ595,Equip!$A:$N,13,FALSE),0)&lt;=9),INT(VLOOKUP(AJ595,Equip!$A:$N,6,FALSE)*SQRT(AN595)),0)</f>
        <v>0</v>
      </c>
      <c r="AT595">
        <f>IF(AND(IFERROR(VLOOKUP(AK595,Equip!$A:$N,13,FALSE),0)&gt;=5,IFERROR(VLOOKUP(AK595,Equip!$A:$N,13,FALSE),0)&lt;=9),INT(VLOOKUP(AK595,Equip!$A:$N,6,FALSE)*SQRT(AO595)),0)</f>
        <v>0</v>
      </c>
      <c r="AU595">
        <f>IF(AND(IFERROR(VLOOKUP(AL595,Equip!$A:$N,13,FALSE),0)&gt;=5,IFERROR(VLOOKUP(AL595,Equip!$A:$N,13,FALSE),0)&lt;=9),INT(VLOOKUP(AL595,Equip!$A:$N,6,FALSE)*SQRT(AP595)),0)</f>
        <v>0</v>
      </c>
      <c r="AV595">
        <f>IF(AND(IFERROR(VLOOKUP(AM595,Equip!$A:$N,13,FALSE),0)&gt;=5,IFERROR(VLOOKUP(AM595,Equip!$A:$N,13,FALSE),0)&lt;=9),INT(VLOOKUP(AM595,Equip!$A:$N,6,FALSE)*SQRT(AQ595)),0)</f>
        <v>0</v>
      </c>
      <c r="AW595">
        <f t="shared" si="1563"/>
        <v>0</v>
      </c>
      <c r="AX595">
        <f t="shared" si="1564"/>
        <v>1549</v>
      </c>
    </row>
    <row r="596" spans="1:50">
      <c r="A596">
        <v>631</v>
      </c>
      <c r="B596" t="s">
        <v>958</v>
      </c>
      <c r="C596" t="s">
        <v>958</v>
      </c>
      <c r="D596">
        <v>0</v>
      </c>
      <c r="E596">
        <v>2459</v>
      </c>
      <c r="F596">
        <v>1430</v>
      </c>
      <c r="G596">
        <v>556</v>
      </c>
      <c r="H596">
        <v>1</v>
      </c>
      <c r="I596">
        <v>0</v>
      </c>
      <c r="J596">
        <v>11</v>
      </c>
      <c r="K596">
        <v>7</v>
      </c>
      <c r="L596">
        <v>0</v>
      </c>
      <c r="M596">
        <v>500</v>
      </c>
      <c r="N596">
        <v>500</v>
      </c>
      <c r="O596">
        <v>85</v>
      </c>
      <c r="P596">
        <v>160</v>
      </c>
      <c r="Q596">
        <v>0</v>
      </c>
      <c r="R596">
        <v>10</v>
      </c>
      <c r="S596">
        <v>120</v>
      </c>
      <c r="T596">
        <v>0</v>
      </c>
      <c r="U596">
        <v>0</v>
      </c>
      <c r="V596">
        <v>90</v>
      </c>
      <c r="W596">
        <v>2</v>
      </c>
      <c r="X596">
        <v>40</v>
      </c>
      <c r="Y596">
        <v>10</v>
      </c>
      <c r="Z596">
        <v>100</v>
      </c>
      <c r="AA596">
        <v>180</v>
      </c>
      <c r="AB596">
        <v>85</v>
      </c>
      <c r="AC596">
        <v>0</v>
      </c>
      <c r="AD596">
        <v>120</v>
      </c>
      <c r="AE596">
        <v>160</v>
      </c>
      <c r="AF596">
        <v>40</v>
      </c>
      <c r="AG596">
        <v>10</v>
      </c>
      <c r="AH596">
        <v>0</v>
      </c>
      <c r="AI596">
        <v>90</v>
      </c>
      <c r="AJ596">
        <v>556</v>
      </c>
      <c r="AK596">
        <v>548</v>
      </c>
      <c r="AL596">
        <v>549</v>
      </c>
      <c r="AM596">
        <v>549</v>
      </c>
      <c r="AN596">
        <v>98</v>
      </c>
      <c r="AO596">
        <v>98</v>
      </c>
      <c r="AP596">
        <v>98</v>
      </c>
      <c r="AQ596">
        <v>98</v>
      </c>
      <c r="AR596">
        <f t="shared" si="1565"/>
        <v>392</v>
      </c>
      <c r="AS596">
        <f>IF(AND(IFERROR(VLOOKUP(AJ596,Equip!$A:$N,13,FALSE),0)&gt;=5,IFERROR(VLOOKUP(AJ596,Equip!$A:$N,13,FALSE),0)&lt;=9),INT(VLOOKUP(AJ596,Equip!$A:$N,6,FALSE)*SQRT(AN596)),0)</f>
        <v>0</v>
      </c>
      <c r="AT596">
        <f>IF(AND(IFERROR(VLOOKUP(AK596,Equip!$A:$N,13,FALSE),0)&gt;=5,IFERROR(VLOOKUP(AK596,Equip!$A:$N,13,FALSE),0)&lt;=9),INT(VLOOKUP(AK596,Equip!$A:$N,6,FALSE)*SQRT(AO596)),0)</f>
        <v>0</v>
      </c>
      <c r="AU596">
        <f>IF(AND(IFERROR(VLOOKUP(AL596,Equip!$A:$N,13,FALSE),0)&gt;=5,IFERROR(VLOOKUP(AL596,Equip!$A:$N,13,FALSE),0)&lt;=9),INT(VLOOKUP(AL596,Equip!$A:$N,6,FALSE)*SQRT(AP596)),0)</f>
        <v>0</v>
      </c>
      <c r="AV596">
        <f>IF(AND(IFERROR(VLOOKUP(AM596,Equip!$A:$N,13,FALSE),0)&gt;=5,IFERROR(VLOOKUP(AM596,Equip!$A:$N,13,FALSE),0)&lt;=9),INT(VLOOKUP(AM596,Equip!$A:$N,6,FALSE)*SQRT(AQ596)),0)</f>
        <v>0</v>
      </c>
      <c r="AW596">
        <f t="shared" si="1563"/>
        <v>0</v>
      </c>
      <c r="AX596">
        <f t="shared" si="1564"/>
        <v>965</v>
      </c>
    </row>
    <row r="597" spans="1:50">
      <c r="A597">
        <v>632</v>
      </c>
      <c r="B597" t="s">
        <v>958</v>
      </c>
      <c r="C597" t="s">
        <v>958</v>
      </c>
      <c r="D597">
        <v>0</v>
      </c>
      <c r="E597">
        <v>2459</v>
      </c>
      <c r="F597">
        <v>1430</v>
      </c>
      <c r="G597">
        <v>556</v>
      </c>
      <c r="H597">
        <v>1</v>
      </c>
      <c r="I597">
        <v>0</v>
      </c>
      <c r="J597">
        <v>11</v>
      </c>
      <c r="K597">
        <v>7</v>
      </c>
      <c r="L597">
        <v>0</v>
      </c>
      <c r="M597">
        <v>500</v>
      </c>
      <c r="N597">
        <v>500</v>
      </c>
      <c r="O597">
        <v>90</v>
      </c>
      <c r="P597">
        <v>175</v>
      </c>
      <c r="Q597">
        <v>0</v>
      </c>
      <c r="R597">
        <v>20</v>
      </c>
      <c r="S597">
        <v>130</v>
      </c>
      <c r="T597">
        <v>0</v>
      </c>
      <c r="U597">
        <v>0</v>
      </c>
      <c r="V597">
        <v>100</v>
      </c>
      <c r="W597">
        <v>2</v>
      </c>
      <c r="X597">
        <v>50</v>
      </c>
      <c r="Y597">
        <v>15</v>
      </c>
      <c r="Z597">
        <v>100</v>
      </c>
      <c r="AA597">
        <v>180</v>
      </c>
      <c r="AB597">
        <v>90</v>
      </c>
      <c r="AC597">
        <v>0</v>
      </c>
      <c r="AD597">
        <v>130</v>
      </c>
      <c r="AE597">
        <v>175</v>
      </c>
      <c r="AF597">
        <v>50</v>
      </c>
      <c r="AG597">
        <v>20</v>
      </c>
      <c r="AH597">
        <v>0</v>
      </c>
      <c r="AI597">
        <v>100</v>
      </c>
      <c r="AJ597">
        <v>556</v>
      </c>
      <c r="AK597">
        <v>557</v>
      </c>
      <c r="AL597">
        <v>558</v>
      </c>
      <c r="AM597">
        <v>549</v>
      </c>
      <c r="AN597">
        <v>98</v>
      </c>
      <c r="AO597">
        <v>98</v>
      </c>
      <c r="AP597">
        <v>98</v>
      </c>
      <c r="AQ597">
        <v>98</v>
      </c>
      <c r="AR597">
        <f t="shared" si="1565"/>
        <v>392</v>
      </c>
      <c r="AS597">
        <f>IF(AND(IFERROR(VLOOKUP(AJ597,Equip!$A:$N,13,FALSE),0)&gt;=5,IFERROR(VLOOKUP(AJ597,Equip!$A:$N,13,FALSE),0)&lt;=9),INT(VLOOKUP(AJ597,Equip!$A:$N,6,FALSE)*SQRT(AN597)),0)</f>
        <v>0</v>
      </c>
      <c r="AT597">
        <f>IF(AND(IFERROR(VLOOKUP(AK597,Equip!$A:$N,13,FALSE),0)&gt;=5,IFERROR(VLOOKUP(AK597,Equip!$A:$N,13,FALSE),0)&lt;=9),INT(VLOOKUP(AK597,Equip!$A:$N,6,FALSE)*SQRT(AO597)),0)</f>
        <v>0</v>
      </c>
      <c r="AU597">
        <f>IF(AND(IFERROR(VLOOKUP(AL597,Equip!$A:$N,13,FALSE),0)&gt;=5,IFERROR(VLOOKUP(AL597,Equip!$A:$N,13,FALSE),0)&lt;=9),INT(VLOOKUP(AL597,Equip!$A:$N,6,FALSE)*SQRT(AP597)),0)</f>
        <v>0</v>
      </c>
      <c r="AV597">
        <f>IF(AND(IFERROR(VLOOKUP(AM597,Equip!$A:$N,13,FALSE),0)&gt;=5,IFERROR(VLOOKUP(AM597,Equip!$A:$N,13,FALSE),0)&lt;=9),INT(VLOOKUP(AM597,Equip!$A:$N,6,FALSE)*SQRT(AQ597)),0)</f>
        <v>0</v>
      </c>
      <c r="AW597">
        <f t="shared" si="1563"/>
        <v>0</v>
      </c>
      <c r="AX597">
        <f t="shared" si="1564"/>
        <v>1015</v>
      </c>
    </row>
    <row r="598" spans="1:50">
      <c r="A598">
        <v>633</v>
      </c>
      <c r="B598" t="s">
        <v>958</v>
      </c>
      <c r="C598" t="s">
        <v>958</v>
      </c>
      <c r="D598">
        <v>0</v>
      </c>
      <c r="E598">
        <v>2459</v>
      </c>
      <c r="F598">
        <v>1430</v>
      </c>
      <c r="G598">
        <v>556</v>
      </c>
      <c r="H598">
        <v>1</v>
      </c>
      <c r="I598">
        <v>0</v>
      </c>
      <c r="J598">
        <v>11</v>
      </c>
      <c r="K598">
        <v>7</v>
      </c>
      <c r="L598">
        <v>0</v>
      </c>
      <c r="M598">
        <v>500</v>
      </c>
      <c r="N598">
        <v>500</v>
      </c>
      <c r="O598">
        <v>95</v>
      </c>
      <c r="P598">
        <v>190</v>
      </c>
      <c r="Q598">
        <v>0</v>
      </c>
      <c r="R598">
        <v>30</v>
      </c>
      <c r="S598">
        <v>140</v>
      </c>
      <c r="T598">
        <v>0</v>
      </c>
      <c r="U598">
        <v>0</v>
      </c>
      <c r="V598">
        <v>110</v>
      </c>
      <c r="W598">
        <v>2</v>
      </c>
      <c r="X598">
        <v>60</v>
      </c>
      <c r="Y598">
        <v>20</v>
      </c>
      <c r="Z598">
        <v>100</v>
      </c>
      <c r="AA598">
        <v>180</v>
      </c>
      <c r="AB598">
        <v>95</v>
      </c>
      <c r="AC598">
        <v>0</v>
      </c>
      <c r="AD598">
        <v>140</v>
      </c>
      <c r="AE598">
        <v>190</v>
      </c>
      <c r="AF598">
        <v>60</v>
      </c>
      <c r="AG598">
        <v>30</v>
      </c>
      <c r="AH598">
        <v>0</v>
      </c>
      <c r="AI598">
        <v>110</v>
      </c>
      <c r="AJ598">
        <v>556</v>
      </c>
      <c r="AK598">
        <v>557</v>
      </c>
      <c r="AL598">
        <v>558</v>
      </c>
      <c r="AM598">
        <v>558</v>
      </c>
      <c r="AN598">
        <v>98</v>
      </c>
      <c r="AO598">
        <v>98</v>
      </c>
      <c r="AP598">
        <v>98</v>
      </c>
      <c r="AQ598">
        <v>98</v>
      </c>
      <c r="AR598">
        <f t="shared" si="1565"/>
        <v>392</v>
      </c>
      <c r="AS598">
        <f>IF(AND(IFERROR(VLOOKUP(AJ598,Equip!$A:$N,13,FALSE),0)&gt;=5,IFERROR(VLOOKUP(AJ598,Equip!$A:$N,13,FALSE),0)&lt;=9),INT(VLOOKUP(AJ598,Equip!$A:$N,6,FALSE)*SQRT(AN598)),0)</f>
        <v>0</v>
      </c>
      <c r="AT598">
        <f>IF(AND(IFERROR(VLOOKUP(AK598,Equip!$A:$N,13,FALSE),0)&gt;=5,IFERROR(VLOOKUP(AK598,Equip!$A:$N,13,FALSE),0)&lt;=9),INT(VLOOKUP(AK598,Equip!$A:$N,6,FALSE)*SQRT(AO598)),0)</f>
        <v>0</v>
      </c>
      <c r="AU598">
        <f>IF(AND(IFERROR(VLOOKUP(AL598,Equip!$A:$N,13,FALSE),0)&gt;=5,IFERROR(VLOOKUP(AL598,Equip!$A:$N,13,FALSE),0)&lt;=9),INT(VLOOKUP(AL598,Equip!$A:$N,6,FALSE)*SQRT(AP598)),0)</f>
        <v>0</v>
      </c>
      <c r="AV598">
        <f>IF(AND(IFERROR(VLOOKUP(AM598,Equip!$A:$N,13,FALSE),0)&gt;=5,IFERROR(VLOOKUP(AM598,Equip!$A:$N,13,FALSE),0)&lt;=9),INT(VLOOKUP(AM598,Equip!$A:$N,6,FALSE)*SQRT(AQ598)),0)</f>
        <v>0</v>
      </c>
      <c r="AW598">
        <f t="shared" si="1563"/>
        <v>0</v>
      </c>
      <c r="AX598">
        <f t="shared" si="1564"/>
        <v>1065</v>
      </c>
    </row>
    <row r="599" spans="1:50">
      <c r="A599">
        <v>634</v>
      </c>
      <c r="B599" t="s">
        <v>964</v>
      </c>
      <c r="C599" t="s">
        <v>964</v>
      </c>
      <c r="D599">
        <v>0</v>
      </c>
      <c r="E599">
        <v>0</v>
      </c>
      <c r="F599">
        <v>0</v>
      </c>
      <c r="G599">
        <v>574</v>
      </c>
      <c r="H599">
        <v>0</v>
      </c>
      <c r="I599">
        <v>0</v>
      </c>
      <c r="J599">
        <v>0</v>
      </c>
      <c r="K599">
        <v>7</v>
      </c>
      <c r="L599">
        <v>0</v>
      </c>
      <c r="M599">
        <v>450</v>
      </c>
      <c r="N599">
        <v>450</v>
      </c>
      <c r="O599">
        <v>150</v>
      </c>
      <c r="P599">
        <v>155</v>
      </c>
      <c r="Q599">
        <v>0</v>
      </c>
      <c r="R599">
        <v>15</v>
      </c>
      <c r="S599">
        <v>100</v>
      </c>
      <c r="T599">
        <v>0</v>
      </c>
      <c r="U599">
        <v>0</v>
      </c>
      <c r="V599">
        <v>80</v>
      </c>
      <c r="W599">
        <v>2</v>
      </c>
      <c r="X599">
        <v>50</v>
      </c>
      <c r="Y599">
        <v>10</v>
      </c>
      <c r="Z599">
        <v>0</v>
      </c>
      <c r="AA599">
        <v>0</v>
      </c>
      <c r="AB599">
        <v>150</v>
      </c>
      <c r="AC599">
        <v>0</v>
      </c>
      <c r="AD599">
        <v>100</v>
      </c>
      <c r="AE599">
        <v>155</v>
      </c>
      <c r="AF599">
        <v>50</v>
      </c>
      <c r="AG599">
        <v>15</v>
      </c>
      <c r="AH599">
        <v>0</v>
      </c>
      <c r="AI599">
        <v>80</v>
      </c>
      <c r="AJ599">
        <v>556</v>
      </c>
      <c r="AK599">
        <v>557</v>
      </c>
      <c r="AL599">
        <v>548</v>
      </c>
      <c r="AM599">
        <v>558</v>
      </c>
      <c r="AN599">
        <v>90</v>
      </c>
      <c r="AO599">
        <v>90</v>
      </c>
      <c r="AP599">
        <v>90</v>
      </c>
      <c r="AQ599">
        <v>90</v>
      </c>
      <c r="AR599">
        <f t="shared" si="1565"/>
        <v>360</v>
      </c>
      <c r="AS599">
        <f>IF(AND(IFERROR(VLOOKUP(AJ599,Equip!$A:$N,13,FALSE),0)&gt;=5,IFERROR(VLOOKUP(AJ599,Equip!$A:$N,13,FALSE),0)&lt;=9),INT(VLOOKUP(AJ599,Equip!$A:$N,6,FALSE)*SQRT(AN599)),0)</f>
        <v>0</v>
      </c>
      <c r="AT599">
        <f>IF(AND(IFERROR(VLOOKUP(AK599,Equip!$A:$N,13,FALSE),0)&gt;=5,IFERROR(VLOOKUP(AK599,Equip!$A:$N,13,FALSE),0)&lt;=9),INT(VLOOKUP(AK599,Equip!$A:$N,6,FALSE)*SQRT(AO599)),0)</f>
        <v>0</v>
      </c>
      <c r="AU599">
        <f>IF(AND(IFERROR(VLOOKUP(AL599,Equip!$A:$N,13,FALSE),0)&gt;=5,IFERROR(VLOOKUP(AL599,Equip!$A:$N,13,FALSE),0)&lt;=9),INT(VLOOKUP(AL599,Equip!$A:$N,6,FALSE)*SQRT(AP599)),0)</f>
        <v>0</v>
      </c>
      <c r="AV599">
        <f>IF(AND(IFERROR(VLOOKUP(AM599,Equip!$A:$N,13,FALSE),0)&gt;=5,IFERROR(VLOOKUP(AM599,Equip!$A:$N,13,FALSE),0)&lt;=9),INT(VLOOKUP(AM599,Equip!$A:$N,6,FALSE)*SQRT(AQ599)),0)</f>
        <v>0</v>
      </c>
      <c r="AW599">
        <f t="shared" si="1563"/>
        <v>0</v>
      </c>
      <c r="AX599">
        <f t="shared" si="1564"/>
        <v>950</v>
      </c>
    </row>
    <row r="600" spans="1:50">
      <c r="A600">
        <v>635</v>
      </c>
      <c r="B600" t="s">
        <v>964</v>
      </c>
      <c r="C600" t="s">
        <v>964</v>
      </c>
      <c r="D600">
        <v>0</v>
      </c>
      <c r="E600">
        <v>0</v>
      </c>
      <c r="F600">
        <v>0</v>
      </c>
      <c r="G600">
        <v>574</v>
      </c>
      <c r="H600">
        <v>0</v>
      </c>
      <c r="I600">
        <v>0</v>
      </c>
      <c r="J600">
        <v>0</v>
      </c>
      <c r="K600">
        <v>7</v>
      </c>
      <c r="L600">
        <v>0</v>
      </c>
      <c r="M600">
        <v>450</v>
      </c>
      <c r="N600">
        <v>450</v>
      </c>
      <c r="O600">
        <v>165</v>
      </c>
      <c r="P600">
        <v>170</v>
      </c>
      <c r="Q600">
        <v>0</v>
      </c>
      <c r="R600">
        <v>25</v>
      </c>
      <c r="S600">
        <v>110</v>
      </c>
      <c r="T600">
        <v>0</v>
      </c>
      <c r="U600">
        <v>0</v>
      </c>
      <c r="V600">
        <v>90</v>
      </c>
      <c r="W600">
        <v>2</v>
      </c>
      <c r="X600">
        <v>60</v>
      </c>
      <c r="Y600">
        <v>15</v>
      </c>
      <c r="Z600">
        <v>0</v>
      </c>
      <c r="AA600">
        <v>0</v>
      </c>
      <c r="AB600">
        <v>165</v>
      </c>
      <c r="AC600">
        <v>0</v>
      </c>
      <c r="AD600">
        <v>110</v>
      </c>
      <c r="AE600">
        <v>170</v>
      </c>
      <c r="AF600">
        <v>60</v>
      </c>
      <c r="AG600">
        <v>25</v>
      </c>
      <c r="AH600">
        <v>0</v>
      </c>
      <c r="AI600">
        <v>90</v>
      </c>
      <c r="AJ600">
        <v>556</v>
      </c>
      <c r="AK600">
        <v>557</v>
      </c>
      <c r="AL600">
        <v>548</v>
      </c>
      <c r="AM600">
        <v>558</v>
      </c>
      <c r="AN600">
        <v>90</v>
      </c>
      <c r="AO600">
        <v>90</v>
      </c>
      <c r="AP600">
        <v>90</v>
      </c>
      <c r="AQ600">
        <v>90</v>
      </c>
      <c r="AR600">
        <f t="shared" si="1565"/>
        <v>360</v>
      </c>
      <c r="AS600">
        <f>IF(AND(IFERROR(VLOOKUP(AJ600,Equip!$A:$N,13,FALSE),0)&gt;=5,IFERROR(VLOOKUP(AJ600,Equip!$A:$N,13,FALSE),0)&lt;=9),INT(VLOOKUP(AJ600,Equip!$A:$N,6,FALSE)*SQRT(AN600)),0)</f>
        <v>0</v>
      </c>
      <c r="AT600">
        <f>IF(AND(IFERROR(VLOOKUP(AK600,Equip!$A:$N,13,FALSE),0)&gt;=5,IFERROR(VLOOKUP(AK600,Equip!$A:$N,13,FALSE),0)&lt;=9),INT(VLOOKUP(AK600,Equip!$A:$N,6,FALSE)*SQRT(AO600)),0)</f>
        <v>0</v>
      </c>
      <c r="AU600">
        <f>IF(AND(IFERROR(VLOOKUP(AL600,Equip!$A:$N,13,FALSE),0)&gt;=5,IFERROR(VLOOKUP(AL600,Equip!$A:$N,13,FALSE),0)&lt;=9),INT(VLOOKUP(AL600,Equip!$A:$N,6,FALSE)*SQRT(AP600)),0)</f>
        <v>0</v>
      </c>
      <c r="AV600">
        <f>IF(AND(IFERROR(VLOOKUP(AM600,Equip!$A:$N,13,FALSE),0)&gt;=5,IFERROR(VLOOKUP(AM600,Equip!$A:$N,13,FALSE),0)&lt;=9),INT(VLOOKUP(AM600,Equip!$A:$N,6,FALSE)*SQRT(AQ600)),0)</f>
        <v>0</v>
      </c>
      <c r="AW600">
        <f t="shared" si="1563"/>
        <v>0</v>
      </c>
      <c r="AX600">
        <f t="shared" si="1564"/>
        <v>1010</v>
      </c>
    </row>
    <row r="601" spans="1:50">
      <c r="A601">
        <v>636</v>
      </c>
      <c r="B601" t="s">
        <v>964</v>
      </c>
      <c r="C601" t="s">
        <v>964</v>
      </c>
      <c r="D601">
        <v>0</v>
      </c>
      <c r="E601">
        <v>0</v>
      </c>
      <c r="F601">
        <v>0</v>
      </c>
      <c r="G601">
        <v>574</v>
      </c>
      <c r="H601">
        <v>0</v>
      </c>
      <c r="I601">
        <v>0</v>
      </c>
      <c r="J601">
        <v>0</v>
      </c>
      <c r="K601">
        <v>7</v>
      </c>
      <c r="L601">
        <v>0</v>
      </c>
      <c r="M601">
        <v>450</v>
      </c>
      <c r="N601">
        <v>450</v>
      </c>
      <c r="O601">
        <v>180</v>
      </c>
      <c r="P601">
        <v>185</v>
      </c>
      <c r="Q601">
        <v>0</v>
      </c>
      <c r="R601">
        <v>35</v>
      </c>
      <c r="S601">
        <v>120</v>
      </c>
      <c r="T601">
        <v>0</v>
      </c>
      <c r="U601">
        <v>0</v>
      </c>
      <c r="V601">
        <v>100</v>
      </c>
      <c r="W601">
        <v>2</v>
      </c>
      <c r="X601">
        <v>70</v>
      </c>
      <c r="Y601">
        <v>20</v>
      </c>
      <c r="Z601">
        <v>0</v>
      </c>
      <c r="AA601">
        <v>0</v>
      </c>
      <c r="AB601">
        <v>180</v>
      </c>
      <c r="AC601">
        <v>0</v>
      </c>
      <c r="AD601">
        <v>120</v>
      </c>
      <c r="AE601">
        <v>185</v>
      </c>
      <c r="AF601">
        <v>70</v>
      </c>
      <c r="AG601">
        <v>35</v>
      </c>
      <c r="AH601">
        <v>0</v>
      </c>
      <c r="AI601">
        <v>100</v>
      </c>
      <c r="AJ601">
        <v>556</v>
      </c>
      <c r="AK601">
        <v>557</v>
      </c>
      <c r="AL601">
        <v>558</v>
      </c>
      <c r="AM601">
        <v>558</v>
      </c>
      <c r="AN601">
        <v>90</v>
      </c>
      <c r="AO601">
        <v>90</v>
      </c>
      <c r="AP601">
        <v>90</v>
      </c>
      <c r="AQ601">
        <v>90</v>
      </c>
      <c r="AR601">
        <f t="shared" si="1565"/>
        <v>360</v>
      </c>
      <c r="AS601">
        <f>IF(AND(IFERROR(VLOOKUP(AJ601,Equip!$A:$N,13,FALSE),0)&gt;=5,IFERROR(VLOOKUP(AJ601,Equip!$A:$N,13,FALSE),0)&lt;=9),INT(VLOOKUP(AJ601,Equip!$A:$N,6,FALSE)*SQRT(AN601)),0)</f>
        <v>0</v>
      </c>
      <c r="AT601">
        <f>IF(AND(IFERROR(VLOOKUP(AK601,Equip!$A:$N,13,FALSE),0)&gt;=5,IFERROR(VLOOKUP(AK601,Equip!$A:$N,13,FALSE),0)&lt;=9),INT(VLOOKUP(AK601,Equip!$A:$N,6,FALSE)*SQRT(AO601)),0)</f>
        <v>0</v>
      </c>
      <c r="AU601">
        <f>IF(AND(IFERROR(VLOOKUP(AL601,Equip!$A:$N,13,FALSE),0)&gt;=5,IFERROR(VLOOKUP(AL601,Equip!$A:$N,13,FALSE),0)&lt;=9),INT(VLOOKUP(AL601,Equip!$A:$N,6,FALSE)*SQRT(AP601)),0)</f>
        <v>0</v>
      </c>
      <c r="AV601">
        <f>IF(AND(IFERROR(VLOOKUP(AM601,Equip!$A:$N,13,FALSE),0)&gt;=5,IFERROR(VLOOKUP(AM601,Equip!$A:$N,13,FALSE),0)&lt;=9),INT(VLOOKUP(AM601,Equip!$A:$N,6,FALSE)*SQRT(AQ601)),0)</f>
        <v>0</v>
      </c>
      <c r="AW601">
        <f t="shared" si="1563"/>
        <v>0</v>
      </c>
      <c r="AX601">
        <f t="shared" si="1564"/>
        <v>1070</v>
      </c>
    </row>
    <row r="602" spans="1:50">
      <c r="A602">
        <v>637</v>
      </c>
      <c r="B602" t="s">
        <v>990</v>
      </c>
      <c r="C602" t="s">
        <v>990</v>
      </c>
      <c r="D602">
        <v>0</v>
      </c>
      <c r="E602">
        <v>0</v>
      </c>
      <c r="F602">
        <v>0</v>
      </c>
      <c r="G602">
        <v>637</v>
      </c>
      <c r="H602">
        <v>0</v>
      </c>
      <c r="I602">
        <v>0</v>
      </c>
      <c r="J602">
        <v>0</v>
      </c>
      <c r="K602">
        <v>51</v>
      </c>
      <c r="L602">
        <v>1</v>
      </c>
      <c r="M602">
        <v>9</v>
      </c>
      <c r="N602">
        <v>9</v>
      </c>
      <c r="O602">
        <v>9</v>
      </c>
      <c r="P602">
        <v>19</v>
      </c>
      <c r="Q602">
        <v>88</v>
      </c>
      <c r="R602">
        <v>150</v>
      </c>
      <c r="S602">
        <v>12</v>
      </c>
      <c r="T602">
        <v>0</v>
      </c>
      <c r="U602">
        <v>10</v>
      </c>
      <c r="V602">
        <v>1</v>
      </c>
      <c r="W602">
        <v>0</v>
      </c>
      <c r="X602">
        <v>1</v>
      </c>
      <c r="Y602">
        <v>0</v>
      </c>
      <c r="Z602">
        <v>0</v>
      </c>
      <c r="AA602">
        <v>0</v>
      </c>
      <c r="AB602">
        <v>9</v>
      </c>
      <c r="AC602">
        <v>88</v>
      </c>
      <c r="AD602">
        <v>12</v>
      </c>
      <c r="AE602">
        <v>19</v>
      </c>
      <c r="AF602">
        <v>1</v>
      </c>
      <c r="AG602">
        <v>150</v>
      </c>
      <c r="AH602">
        <v>0</v>
      </c>
      <c r="AI602">
        <v>1</v>
      </c>
      <c r="AJ602">
        <v>515</v>
      </c>
      <c r="AK602">
        <v>0</v>
      </c>
      <c r="AL602">
        <v>-1</v>
      </c>
      <c r="AM602">
        <v>-1</v>
      </c>
      <c r="AN602">
        <v>0</v>
      </c>
      <c r="AO602">
        <v>0</v>
      </c>
      <c r="AP602">
        <v>0</v>
      </c>
      <c r="AQ602">
        <v>0</v>
      </c>
      <c r="AR602">
        <f t="shared" si="1565"/>
        <v>0</v>
      </c>
      <c r="AS602">
        <f>IF(AND(IFERROR(VLOOKUP(AJ602,Equip!$A:$N,13,FALSE),0)&gt;=5,IFERROR(VLOOKUP(AJ602,Equip!$A:$N,13,FALSE),0)&lt;=9),INT(VLOOKUP(AJ602,Equip!$A:$N,6,FALSE)*SQRT(AN602)),0)</f>
        <v>0</v>
      </c>
      <c r="AT602">
        <f>IF(AND(IFERROR(VLOOKUP(AK602,Equip!$A:$N,13,FALSE),0)&gt;=5,IFERROR(VLOOKUP(AK602,Equip!$A:$N,13,FALSE),0)&lt;=9),INT(VLOOKUP(AK602,Equip!$A:$N,6,FALSE)*SQRT(AO602)),0)</f>
        <v>0</v>
      </c>
      <c r="AU602">
        <f>IF(AND(IFERROR(VLOOKUP(AL602,Equip!$A:$N,13,FALSE),0)&gt;=5,IFERROR(VLOOKUP(AL602,Equip!$A:$N,13,FALSE),0)&lt;=9),INT(VLOOKUP(AL602,Equip!$A:$N,6,FALSE)*SQRT(AP602)),0)</f>
        <v>0</v>
      </c>
      <c r="AV602">
        <f>IF(AND(IFERROR(VLOOKUP(AM602,Equip!$A:$N,13,FALSE),0)&gt;=5,IFERROR(VLOOKUP(AM602,Equip!$A:$N,13,FALSE),0)&lt;=9),INT(VLOOKUP(AM602,Equip!$A:$N,6,FALSE)*SQRT(AQ602)),0)</f>
        <v>0</v>
      </c>
      <c r="AW602">
        <f t="shared" si="1563"/>
        <v>0</v>
      </c>
      <c r="AX602">
        <f t="shared" si="1564"/>
        <v>288</v>
      </c>
    </row>
    <row r="603" spans="1:50">
      <c r="A603">
        <v>638</v>
      </c>
      <c r="B603" t="s">
        <v>990</v>
      </c>
      <c r="C603" t="s">
        <v>990</v>
      </c>
      <c r="D603">
        <v>0</v>
      </c>
      <c r="E603">
        <v>0</v>
      </c>
      <c r="F603">
        <v>0</v>
      </c>
      <c r="G603">
        <v>637</v>
      </c>
      <c r="H603">
        <v>0</v>
      </c>
      <c r="I603">
        <v>0</v>
      </c>
      <c r="J603">
        <v>0</v>
      </c>
      <c r="K603">
        <v>51</v>
      </c>
      <c r="L603">
        <v>1</v>
      </c>
      <c r="M603">
        <v>9</v>
      </c>
      <c r="N603">
        <v>9</v>
      </c>
      <c r="O603">
        <v>9</v>
      </c>
      <c r="P603">
        <v>29</v>
      </c>
      <c r="Q603">
        <v>98</v>
      </c>
      <c r="R603">
        <v>150</v>
      </c>
      <c r="S603">
        <v>12</v>
      </c>
      <c r="T603">
        <v>0</v>
      </c>
      <c r="U603">
        <v>10</v>
      </c>
      <c r="V603">
        <v>1</v>
      </c>
      <c r="W603">
        <v>0</v>
      </c>
      <c r="X603">
        <v>1</v>
      </c>
      <c r="Y603">
        <v>0</v>
      </c>
      <c r="Z603">
        <v>0</v>
      </c>
      <c r="AA603">
        <v>0</v>
      </c>
      <c r="AB603">
        <v>9</v>
      </c>
      <c r="AC603">
        <v>98</v>
      </c>
      <c r="AD603">
        <v>12</v>
      </c>
      <c r="AE603">
        <v>29</v>
      </c>
      <c r="AF603">
        <v>1</v>
      </c>
      <c r="AG603">
        <v>150</v>
      </c>
      <c r="AH603">
        <v>0</v>
      </c>
      <c r="AI603">
        <v>1</v>
      </c>
      <c r="AJ603">
        <v>515</v>
      </c>
      <c r="AK603">
        <v>515</v>
      </c>
      <c r="AL603">
        <v>-1</v>
      </c>
      <c r="AM603">
        <v>-1</v>
      </c>
      <c r="AN603">
        <v>0</v>
      </c>
      <c r="AO603">
        <v>0</v>
      </c>
      <c r="AP603">
        <v>0</v>
      </c>
      <c r="AQ603">
        <v>0</v>
      </c>
      <c r="AR603">
        <f t="shared" si="1565"/>
        <v>0</v>
      </c>
      <c r="AS603">
        <f>IF(AND(IFERROR(VLOOKUP(AJ603,Equip!$A:$N,13,FALSE),0)&gt;=5,IFERROR(VLOOKUP(AJ603,Equip!$A:$N,13,FALSE),0)&lt;=9),INT(VLOOKUP(AJ603,Equip!$A:$N,6,FALSE)*SQRT(AN603)),0)</f>
        <v>0</v>
      </c>
      <c r="AT603">
        <f>IF(AND(IFERROR(VLOOKUP(AK603,Equip!$A:$N,13,FALSE),0)&gt;=5,IFERROR(VLOOKUP(AK603,Equip!$A:$N,13,FALSE),0)&lt;=9),INT(VLOOKUP(AK603,Equip!$A:$N,6,FALSE)*SQRT(AO603)),0)</f>
        <v>0</v>
      </c>
      <c r="AU603">
        <f>IF(AND(IFERROR(VLOOKUP(AL603,Equip!$A:$N,13,FALSE),0)&gt;=5,IFERROR(VLOOKUP(AL603,Equip!$A:$N,13,FALSE),0)&lt;=9),INT(VLOOKUP(AL603,Equip!$A:$N,6,FALSE)*SQRT(AP603)),0)</f>
        <v>0</v>
      </c>
      <c r="AV603">
        <f>IF(AND(IFERROR(VLOOKUP(AM603,Equip!$A:$N,13,FALSE),0)&gt;=5,IFERROR(VLOOKUP(AM603,Equip!$A:$N,13,FALSE),0)&lt;=9),INT(VLOOKUP(AM603,Equip!$A:$N,6,FALSE)*SQRT(AQ603)),0)</f>
        <v>0</v>
      </c>
      <c r="AW603">
        <f t="shared" si="1563"/>
        <v>0</v>
      </c>
      <c r="AX603">
        <f t="shared" si="1564"/>
        <v>308</v>
      </c>
    </row>
    <row r="604" spans="1:50">
      <c r="A604">
        <v>639</v>
      </c>
      <c r="B604" t="s">
        <v>990</v>
      </c>
      <c r="C604" t="s">
        <v>990</v>
      </c>
      <c r="D604">
        <v>0</v>
      </c>
      <c r="E604">
        <v>0</v>
      </c>
      <c r="F604">
        <v>0</v>
      </c>
      <c r="G604">
        <v>637</v>
      </c>
      <c r="H604">
        <v>0</v>
      </c>
      <c r="I604">
        <v>0</v>
      </c>
      <c r="J604">
        <v>0</v>
      </c>
      <c r="K604">
        <v>51</v>
      </c>
      <c r="L604">
        <v>1</v>
      </c>
      <c r="M604">
        <v>15</v>
      </c>
      <c r="N604">
        <v>15</v>
      </c>
      <c r="O604">
        <v>15</v>
      </c>
      <c r="P604">
        <v>29</v>
      </c>
      <c r="Q604">
        <v>98</v>
      </c>
      <c r="R604">
        <v>150</v>
      </c>
      <c r="S604">
        <v>12</v>
      </c>
      <c r="T604">
        <v>0</v>
      </c>
      <c r="U604">
        <v>10</v>
      </c>
      <c r="V604">
        <v>1</v>
      </c>
      <c r="W604">
        <v>0</v>
      </c>
      <c r="X604">
        <v>1</v>
      </c>
      <c r="Y604">
        <v>0</v>
      </c>
      <c r="Z604">
        <v>0</v>
      </c>
      <c r="AA604">
        <v>0</v>
      </c>
      <c r="AB604">
        <v>15</v>
      </c>
      <c r="AC604">
        <v>98</v>
      </c>
      <c r="AD604">
        <v>12</v>
      </c>
      <c r="AE604">
        <v>29</v>
      </c>
      <c r="AF604">
        <v>1</v>
      </c>
      <c r="AG604">
        <v>150</v>
      </c>
      <c r="AH604">
        <v>0</v>
      </c>
      <c r="AI604">
        <v>1</v>
      </c>
      <c r="AJ604">
        <v>515</v>
      </c>
      <c r="AK604">
        <v>515</v>
      </c>
      <c r="AL604">
        <v>-1</v>
      </c>
      <c r="AM604">
        <v>-1</v>
      </c>
      <c r="AN604">
        <v>0</v>
      </c>
      <c r="AO604">
        <v>0</v>
      </c>
      <c r="AP604">
        <v>0</v>
      </c>
      <c r="AQ604">
        <v>0</v>
      </c>
      <c r="AR604">
        <f t="shared" si="1565"/>
        <v>0</v>
      </c>
      <c r="AS604">
        <f>IF(AND(IFERROR(VLOOKUP(AJ604,Equip!$A:$N,13,FALSE),0)&gt;=5,IFERROR(VLOOKUP(AJ604,Equip!$A:$N,13,FALSE),0)&lt;=9),INT(VLOOKUP(AJ604,Equip!$A:$N,6,FALSE)*SQRT(AN604)),0)</f>
        <v>0</v>
      </c>
      <c r="AT604">
        <f>IF(AND(IFERROR(VLOOKUP(AK604,Equip!$A:$N,13,FALSE),0)&gt;=5,IFERROR(VLOOKUP(AK604,Equip!$A:$N,13,FALSE),0)&lt;=9),INT(VLOOKUP(AK604,Equip!$A:$N,6,FALSE)*SQRT(AO604)),0)</f>
        <v>0</v>
      </c>
      <c r="AU604">
        <f>IF(AND(IFERROR(VLOOKUP(AL604,Equip!$A:$N,13,FALSE),0)&gt;=5,IFERROR(VLOOKUP(AL604,Equip!$A:$N,13,FALSE),0)&lt;=9),INT(VLOOKUP(AL604,Equip!$A:$N,6,FALSE)*SQRT(AP604)),0)</f>
        <v>0</v>
      </c>
      <c r="AV604">
        <f>IF(AND(IFERROR(VLOOKUP(AM604,Equip!$A:$N,13,FALSE),0)&gt;=5,IFERROR(VLOOKUP(AM604,Equip!$A:$N,13,FALSE),0)&lt;=9),INT(VLOOKUP(AM604,Equip!$A:$N,6,FALSE)*SQRT(AQ604)),0)</f>
        <v>0</v>
      </c>
      <c r="AW604">
        <f t="shared" si="1563"/>
        <v>0</v>
      </c>
      <c r="AX604">
        <f t="shared" si="1564"/>
        <v>320</v>
      </c>
    </row>
    <row r="605" spans="1:50">
      <c r="A605">
        <v>640</v>
      </c>
      <c r="B605" t="s">
        <v>990</v>
      </c>
      <c r="C605" t="s">
        <v>990</v>
      </c>
      <c r="D605">
        <v>0</v>
      </c>
      <c r="E605">
        <v>0</v>
      </c>
      <c r="F605">
        <v>0</v>
      </c>
      <c r="G605">
        <v>637</v>
      </c>
      <c r="H605">
        <v>0</v>
      </c>
      <c r="I605">
        <v>0</v>
      </c>
      <c r="J605">
        <v>0</v>
      </c>
      <c r="K605">
        <v>51</v>
      </c>
      <c r="L605">
        <v>1</v>
      </c>
      <c r="M605">
        <v>18</v>
      </c>
      <c r="N605">
        <v>18</v>
      </c>
      <c r="O605">
        <v>18</v>
      </c>
      <c r="P605">
        <v>39</v>
      </c>
      <c r="Q605">
        <v>118</v>
      </c>
      <c r="R605">
        <v>150</v>
      </c>
      <c r="S605">
        <v>24</v>
      </c>
      <c r="T605">
        <v>0</v>
      </c>
      <c r="U605">
        <v>10</v>
      </c>
      <c r="V605">
        <v>1</v>
      </c>
      <c r="W605">
        <v>0</v>
      </c>
      <c r="X605">
        <v>1</v>
      </c>
      <c r="Y605">
        <v>0</v>
      </c>
      <c r="Z605">
        <v>0</v>
      </c>
      <c r="AA605">
        <v>0</v>
      </c>
      <c r="AB605">
        <v>18</v>
      </c>
      <c r="AC605">
        <v>118</v>
      </c>
      <c r="AD605">
        <v>24</v>
      </c>
      <c r="AE605">
        <v>39</v>
      </c>
      <c r="AF605">
        <v>1</v>
      </c>
      <c r="AG605">
        <v>150</v>
      </c>
      <c r="AH605">
        <v>0</v>
      </c>
      <c r="AI605">
        <v>1</v>
      </c>
      <c r="AJ605">
        <v>515</v>
      </c>
      <c r="AK605">
        <v>515</v>
      </c>
      <c r="AL605">
        <v>-1</v>
      </c>
      <c r="AM605">
        <v>-1</v>
      </c>
      <c r="AN605">
        <v>0</v>
      </c>
      <c r="AO605">
        <v>0</v>
      </c>
      <c r="AP605">
        <v>0</v>
      </c>
      <c r="AQ605">
        <v>0</v>
      </c>
      <c r="AR605">
        <f t="shared" si="1565"/>
        <v>0</v>
      </c>
      <c r="AS605">
        <f>IF(AND(IFERROR(VLOOKUP(AJ605,Equip!$A:$N,13,FALSE),0)&gt;=5,IFERROR(VLOOKUP(AJ605,Equip!$A:$N,13,FALSE),0)&lt;=9),INT(VLOOKUP(AJ605,Equip!$A:$N,6,FALSE)*SQRT(AN605)),0)</f>
        <v>0</v>
      </c>
      <c r="AT605">
        <f>IF(AND(IFERROR(VLOOKUP(AK605,Equip!$A:$N,13,FALSE),0)&gt;=5,IFERROR(VLOOKUP(AK605,Equip!$A:$N,13,FALSE),0)&lt;=9),INT(VLOOKUP(AK605,Equip!$A:$N,6,FALSE)*SQRT(AO605)),0)</f>
        <v>0</v>
      </c>
      <c r="AU605">
        <f>IF(AND(IFERROR(VLOOKUP(AL605,Equip!$A:$N,13,FALSE),0)&gt;=5,IFERROR(VLOOKUP(AL605,Equip!$A:$N,13,FALSE),0)&lt;=9),INT(VLOOKUP(AL605,Equip!$A:$N,6,FALSE)*SQRT(AP605)),0)</f>
        <v>0</v>
      </c>
      <c r="AV605">
        <f>IF(AND(IFERROR(VLOOKUP(AM605,Equip!$A:$N,13,FALSE),0)&gt;=5,IFERROR(VLOOKUP(AM605,Equip!$A:$N,13,FALSE),0)&lt;=9),INT(VLOOKUP(AM605,Equip!$A:$N,6,FALSE)*SQRT(AQ605)),0)</f>
        <v>0</v>
      </c>
      <c r="AW605">
        <f t="shared" si="1563"/>
        <v>0</v>
      </c>
      <c r="AX605">
        <f t="shared" si="1564"/>
        <v>368</v>
      </c>
    </row>
    <row r="606" spans="1:50">
      <c r="A606">
        <v>641</v>
      </c>
      <c r="B606" t="s">
        <v>991</v>
      </c>
      <c r="C606" t="s">
        <v>991</v>
      </c>
      <c r="D606">
        <v>0</v>
      </c>
      <c r="E606">
        <v>0</v>
      </c>
      <c r="F606">
        <v>0</v>
      </c>
      <c r="G606">
        <v>641</v>
      </c>
      <c r="H606">
        <v>0</v>
      </c>
      <c r="I606">
        <v>0</v>
      </c>
      <c r="J606">
        <v>0</v>
      </c>
      <c r="K606">
        <v>2</v>
      </c>
      <c r="L606">
        <v>2</v>
      </c>
      <c r="M606">
        <v>230</v>
      </c>
      <c r="N606">
        <v>230</v>
      </c>
      <c r="O606">
        <v>64</v>
      </c>
      <c r="P606">
        <v>145</v>
      </c>
      <c r="Q606">
        <v>93</v>
      </c>
      <c r="R606">
        <v>50</v>
      </c>
      <c r="S606">
        <v>50</v>
      </c>
      <c r="T606">
        <v>78</v>
      </c>
      <c r="U606">
        <v>10</v>
      </c>
      <c r="V606">
        <v>65</v>
      </c>
      <c r="W606">
        <v>2</v>
      </c>
      <c r="X606">
        <v>75</v>
      </c>
      <c r="Y606">
        <v>10</v>
      </c>
      <c r="Z606">
        <v>0</v>
      </c>
      <c r="AA606">
        <v>0</v>
      </c>
      <c r="AB606">
        <v>64</v>
      </c>
      <c r="AC606">
        <v>93</v>
      </c>
      <c r="AD606">
        <v>50</v>
      </c>
      <c r="AE606">
        <v>145</v>
      </c>
      <c r="AF606">
        <v>75</v>
      </c>
      <c r="AG606">
        <v>50</v>
      </c>
      <c r="AH606">
        <v>78</v>
      </c>
      <c r="AI606">
        <v>65</v>
      </c>
      <c r="AJ606">
        <v>511</v>
      </c>
      <c r="AK606">
        <v>511</v>
      </c>
      <c r="AL606">
        <v>515</v>
      </c>
      <c r="AM606">
        <v>560</v>
      </c>
      <c r="AN606">
        <v>0</v>
      </c>
      <c r="AO606">
        <v>0</v>
      </c>
      <c r="AP606">
        <v>0</v>
      </c>
      <c r="AQ606">
        <v>3</v>
      </c>
      <c r="AR606">
        <f t="shared" si="1565"/>
        <v>3</v>
      </c>
      <c r="AS606">
        <f>IF(AND(IFERROR(VLOOKUP(AJ606,Equip!$A:$N,13,FALSE),0)&gt;=5,IFERROR(VLOOKUP(AJ606,Equip!$A:$N,13,FALSE),0)&lt;=9),INT(VLOOKUP(AJ606,Equip!$A:$N,6,FALSE)*SQRT(AN606)),0)</f>
        <v>0</v>
      </c>
      <c r="AT606">
        <f>IF(AND(IFERROR(VLOOKUP(AK606,Equip!$A:$N,13,FALSE),0)&gt;=5,IFERROR(VLOOKUP(AK606,Equip!$A:$N,13,FALSE),0)&lt;=9),INT(VLOOKUP(AK606,Equip!$A:$N,6,FALSE)*SQRT(AO606)),0)</f>
        <v>0</v>
      </c>
      <c r="AU606">
        <f>IF(AND(IFERROR(VLOOKUP(AL606,Equip!$A:$N,13,FALSE),0)&gt;=5,IFERROR(VLOOKUP(AL606,Equip!$A:$N,13,FALSE),0)&lt;=9),INT(VLOOKUP(AL606,Equip!$A:$N,6,FALSE)*SQRT(AP606)),0)</f>
        <v>0</v>
      </c>
      <c r="AV606">
        <f>IF(AND(IFERROR(VLOOKUP(AM606,Equip!$A:$N,13,FALSE),0)&gt;=5,IFERROR(VLOOKUP(AM606,Equip!$A:$N,13,FALSE),0)&lt;=9),INT(VLOOKUP(AM606,Equip!$A:$N,6,FALSE)*SQRT(AQ606)),0)</f>
        <v>0</v>
      </c>
      <c r="AW606">
        <f t="shared" si="1563"/>
        <v>0</v>
      </c>
      <c r="AX606">
        <f t="shared" si="1564"/>
        <v>775</v>
      </c>
    </row>
    <row r="607" spans="1:50">
      <c r="A607">
        <v>642</v>
      </c>
      <c r="B607" t="s">
        <v>991</v>
      </c>
      <c r="C607" t="s">
        <v>991</v>
      </c>
      <c r="D607">
        <v>0</v>
      </c>
      <c r="E607">
        <v>0</v>
      </c>
      <c r="F607">
        <v>0</v>
      </c>
      <c r="G607">
        <v>641</v>
      </c>
      <c r="H607">
        <v>0</v>
      </c>
      <c r="I607">
        <v>0</v>
      </c>
      <c r="J607">
        <v>0</v>
      </c>
      <c r="K607">
        <v>2</v>
      </c>
      <c r="L607">
        <v>2</v>
      </c>
      <c r="M607">
        <v>290</v>
      </c>
      <c r="N607">
        <v>290</v>
      </c>
      <c r="O607">
        <v>74</v>
      </c>
      <c r="P607">
        <v>175</v>
      </c>
      <c r="Q607">
        <v>96</v>
      </c>
      <c r="R607">
        <v>65</v>
      </c>
      <c r="S607">
        <v>55</v>
      </c>
      <c r="T607">
        <v>88</v>
      </c>
      <c r="U607">
        <v>10</v>
      </c>
      <c r="V607">
        <v>70</v>
      </c>
      <c r="W607">
        <v>2</v>
      </c>
      <c r="X607">
        <v>85</v>
      </c>
      <c r="Y607">
        <v>15</v>
      </c>
      <c r="Z607">
        <v>0</v>
      </c>
      <c r="AA607">
        <v>0</v>
      </c>
      <c r="AB607">
        <v>74</v>
      </c>
      <c r="AC607">
        <v>96</v>
      </c>
      <c r="AD607">
        <v>55</v>
      </c>
      <c r="AE607">
        <v>175</v>
      </c>
      <c r="AF607">
        <v>85</v>
      </c>
      <c r="AG607">
        <v>65</v>
      </c>
      <c r="AH607">
        <v>88</v>
      </c>
      <c r="AI607">
        <v>70</v>
      </c>
      <c r="AJ607">
        <v>511</v>
      </c>
      <c r="AK607">
        <v>511</v>
      </c>
      <c r="AL607">
        <v>515</v>
      </c>
      <c r="AM607">
        <v>560</v>
      </c>
      <c r="AN607">
        <v>0</v>
      </c>
      <c r="AO607">
        <v>0</v>
      </c>
      <c r="AP607">
        <v>0</v>
      </c>
      <c r="AQ607">
        <v>3</v>
      </c>
      <c r="AR607">
        <f t="shared" si="1565"/>
        <v>3</v>
      </c>
      <c r="AS607">
        <f>IF(AND(IFERROR(VLOOKUP(AJ607,Equip!$A:$N,13,FALSE),0)&gt;=5,IFERROR(VLOOKUP(AJ607,Equip!$A:$N,13,FALSE),0)&lt;=9),INT(VLOOKUP(AJ607,Equip!$A:$N,6,FALSE)*SQRT(AN607)),0)</f>
        <v>0</v>
      </c>
      <c r="AT607">
        <f>IF(AND(IFERROR(VLOOKUP(AK607,Equip!$A:$N,13,FALSE),0)&gt;=5,IFERROR(VLOOKUP(AK607,Equip!$A:$N,13,FALSE),0)&lt;=9),INT(VLOOKUP(AK607,Equip!$A:$N,6,FALSE)*SQRT(AO607)),0)</f>
        <v>0</v>
      </c>
      <c r="AU607">
        <f>IF(AND(IFERROR(VLOOKUP(AL607,Equip!$A:$N,13,FALSE),0)&gt;=5,IFERROR(VLOOKUP(AL607,Equip!$A:$N,13,FALSE),0)&lt;=9),INT(VLOOKUP(AL607,Equip!$A:$N,6,FALSE)*SQRT(AP607)),0)</f>
        <v>0</v>
      </c>
      <c r="AV607">
        <f>IF(AND(IFERROR(VLOOKUP(AM607,Equip!$A:$N,13,FALSE),0)&gt;=5,IFERROR(VLOOKUP(AM607,Equip!$A:$N,13,FALSE),0)&lt;=9),INT(VLOOKUP(AM607,Equip!$A:$N,6,FALSE)*SQRT(AQ607)),0)</f>
        <v>0</v>
      </c>
      <c r="AW607">
        <f t="shared" si="1563"/>
        <v>0</v>
      </c>
      <c r="AX607">
        <f t="shared" si="1564"/>
        <v>913</v>
      </c>
    </row>
    <row r="608" spans="1:50">
      <c r="A608">
        <v>643</v>
      </c>
      <c r="B608" t="s">
        <v>991</v>
      </c>
      <c r="C608" t="s">
        <v>991</v>
      </c>
      <c r="D608">
        <v>0</v>
      </c>
      <c r="E608">
        <v>0</v>
      </c>
      <c r="F608">
        <v>0</v>
      </c>
      <c r="G608">
        <v>641</v>
      </c>
      <c r="H608">
        <v>0</v>
      </c>
      <c r="I608">
        <v>0</v>
      </c>
      <c r="J608">
        <v>0</v>
      </c>
      <c r="K608">
        <v>2</v>
      </c>
      <c r="L608">
        <v>2</v>
      </c>
      <c r="M608">
        <v>330</v>
      </c>
      <c r="N608">
        <v>330</v>
      </c>
      <c r="O608">
        <v>79</v>
      </c>
      <c r="P608">
        <v>185</v>
      </c>
      <c r="Q608">
        <v>99</v>
      </c>
      <c r="R608">
        <v>75</v>
      </c>
      <c r="S608">
        <v>55</v>
      </c>
      <c r="T608">
        <v>88</v>
      </c>
      <c r="U608">
        <v>10</v>
      </c>
      <c r="V608">
        <v>75</v>
      </c>
      <c r="W608">
        <v>2</v>
      </c>
      <c r="X608">
        <v>95</v>
      </c>
      <c r="Y608">
        <v>20</v>
      </c>
      <c r="Z608">
        <v>0</v>
      </c>
      <c r="AA608">
        <v>0</v>
      </c>
      <c r="AB608">
        <v>79</v>
      </c>
      <c r="AC608">
        <v>99</v>
      </c>
      <c r="AD608">
        <v>55</v>
      </c>
      <c r="AE608">
        <v>185</v>
      </c>
      <c r="AF608">
        <v>95</v>
      </c>
      <c r="AG608">
        <v>75</v>
      </c>
      <c r="AH608">
        <v>88</v>
      </c>
      <c r="AI608">
        <v>75</v>
      </c>
      <c r="AJ608">
        <v>511</v>
      </c>
      <c r="AK608">
        <v>511</v>
      </c>
      <c r="AL608">
        <v>515</v>
      </c>
      <c r="AM608">
        <v>560</v>
      </c>
      <c r="AN608">
        <v>0</v>
      </c>
      <c r="AO608">
        <v>0</v>
      </c>
      <c r="AP608">
        <v>0</v>
      </c>
      <c r="AQ608">
        <v>3</v>
      </c>
      <c r="AR608">
        <f t="shared" si="1565"/>
        <v>3</v>
      </c>
      <c r="AS608">
        <f>IF(AND(IFERROR(VLOOKUP(AJ608,Equip!$A:$N,13,FALSE),0)&gt;=5,IFERROR(VLOOKUP(AJ608,Equip!$A:$N,13,FALSE),0)&lt;=9),INT(VLOOKUP(AJ608,Equip!$A:$N,6,FALSE)*SQRT(AN608)),0)</f>
        <v>0</v>
      </c>
      <c r="AT608">
        <f>IF(AND(IFERROR(VLOOKUP(AK608,Equip!$A:$N,13,FALSE),0)&gt;=5,IFERROR(VLOOKUP(AK608,Equip!$A:$N,13,FALSE),0)&lt;=9),INT(VLOOKUP(AK608,Equip!$A:$N,6,FALSE)*SQRT(AO608)),0)</f>
        <v>0</v>
      </c>
      <c r="AU608">
        <f>IF(AND(IFERROR(VLOOKUP(AL608,Equip!$A:$N,13,FALSE),0)&gt;=5,IFERROR(VLOOKUP(AL608,Equip!$A:$N,13,FALSE),0)&lt;=9),INT(VLOOKUP(AL608,Equip!$A:$N,6,FALSE)*SQRT(AP608)),0)</f>
        <v>0</v>
      </c>
      <c r="AV608">
        <f>IF(AND(IFERROR(VLOOKUP(AM608,Equip!$A:$N,13,FALSE),0)&gt;=5,IFERROR(VLOOKUP(AM608,Equip!$A:$N,13,FALSE),0)&lt;=9),INT(VLOOKUP(AM608,Equip!$A:$N,6,FALSE)*SQRT(AQ608)),0)</f>
        <v>0</v>
      </c>
      <c r="AW608">
        <f t="shared" si="1563"/>
        <v>0</v>
      </c>
      <c r="AX608">
        <f t="shared" si="1564"/>
        <v>986</v>
      </c>
    </row>
    <row r="609" spans="1:50">
      <c r="A609">
        <v>644</v>
      </c>
      <c r="B609" t="s">
        <v>992</v>
      </c>
      <c r="C609" t="s">
        <v>992</v>
      </c>
      <c r="D609">
        <v>0</v>
      </c>
      <c r="E609">
        <v>0</v>
      </c>
      <c r="F609">
        <v>0</v>
      </c>
      <c r="G609">
        <v>644</v>
      </c>
      <c r="H609">
        <v>0</v>
      </c>
      <c r="I609">
        <v>0</v>
      </c>
      <c r="J609">
        <v>0</v>
      </c>
      <c r="K609">
        <v>14</v>
      </c>
      <c r="L609">
        <v>0</v>
      </c>
      <c r="M609">
        <v>110</v>
      </c>
      <c r="N609">
        <v>110</v>
      </c>
      <c r="O609">
        <v>50</v>
      </c>
      <c r="P609">
        <v>49</v>
      </c>
      <c r="Q609">
        <v>140</v>
      </c>
      <c r="R609">
        <v>38</v>
      </c>
      <c r="S609">
        <v>0</v>
      </c>
      <c r="T609">
        <v>0</v>
      </c>
      <c r="U609">
        <v>5</v>
      </c>
      <c r="V609">
        <v>30</v>
      </c>
      <c r="W609">
        <v>1</v>
      </c>
      <c r="X609">
        <v>50</v>
      </c>
      <c r="Y609">
        <v>10</v>
      </c>
      <c r="Z609">
        <v>0</v>
      </c>
      <c r="AA609">
        <v>0</v>
      </c>
      <c r="AB609">
        <v>50</v>
      </c>
      <c r="AC609">
        <v>140</v>
      </c>
      <c r="AD609">
        <v>0</v>
      </c>
      <c r="AE609">
        <v>49</v>
      </c>
      <c r="AF609">
        <v>50</v>
      </c>
      <c r="AG609">
        <v>38</v>
      </c>
      <c r="AH609">
        <v>0</v>
      </c>
      <c r="AI609">
        <v>30</v>
      </c>
      <c r="AJ609">
        <v>515</v>
      </c>
      <c r="AK609">
        <v>515</v>
      </c>
      <c r="AL609">
        <v>515</v>
      </c>
      <c r="AM609">
        <v>0</v>
      </c>
      <c r="AN609">
        <v>0</v>
      </c>
      <c r="AO609">
        <v>0</v>
      </c>
      <c r="AP609">
        <v>0</v>
      </c>
      <c r="AQ609">
        <v>0</v>
      </c>
      <c r="AR609">
        <f t="shared" si="1565"/>
        <v>0</v>
      </c>
      <c r="AS609">
        <f>IF(AND(IFERROR(VLOOKUP(AJ609,Equip!$A:$N,13,FALSE),0)&gt;=5,IFERROR(VLOOKUP(AJ609,Equip!$A:$N,13,FALSE),0)&lt;=9),INT(VLOOKUP(AJ609,Equip!$A:$N,6,FALSE)*SQRT(AN609)),0)</f>
        <v>0</v>
      </c>
      <c r="AT609">
        <f>IF(AND(IFERROR(VLOOKUP(AK609,Equip!$A:$N,13,FALSE),0)&gt;=5,IFERROR(VLOOKUP(AK609,Equip!$A:$N,13,FALSE),0)&lt;=9),INT(VLOOKUP(AK609,Equip!$A:$N,6,FALSE)*SQRT(AO609)),0)</f>
        <v>0</v>
      </c>
      <c r="AU609">
        <f>IF(AND(IFERROR(VLOOKUP(AL609,Equip!$A:$N,13,FALSE),0)&gt;=5,IFERROR(VLOOKUP(AL609,Equip!$A:$N,13,FALSE),0)&lt;=9),INT(VLOOKUP(AL609,Equip!$A:$N,6,FALSE)*SQRT(AP609)),0)</f>
        <v>0</v>
      </c>
      <c r="AV609">
        <f>IF(AND(IFERROR(VLOOKUP(AM609,Equip!$A:$N,13,FALSE),0)&gt;=5,IFERROR(VLOOKUP(AM609,Equip!$A:$N,13,FALSE),0)&lt;=9),INT(VLOOKUP(AM609,Equip!$A:$N,6,FALSE)*SQRT(AQ609)),0)</f>
        <v>0</v>
      </c>
      <c r="AW609">
        <f t="shared" si="1563"/>
        <v>0</v>
      </c>
      <c r="AX609">
        <f t="shared" si="1564"/>
        <v>417</v>
      </c>
    </row>
    <row r="610" spans="1:50">
      <c r="A610">
        <v>645</v>
      </c>
      <c r="B610" t="s">
        <v>992</v>
      </c>
      <c r="C610" t="s">
        <v>992</v>
      </c>
      <c r="D610">
        <v>0</v>
      </c>
      <c r="E610">
        <v>0</v>
      </c>
      <c r="F610">
        <v>0</v>
      </c>
      <c r="G610">
        <v>644</v>
      </c>
      <c r="H610">
        <v>0</v>
      </c>
      <c r="I610">
        <v>0</v>
      </c>
      <c r="J610">
        <v>0</v>
      </c>
      <c r="K610">
        <v>14</v>
      </c>
      <c r="L610">
        <v>0</v>
      </c>
      <c r="M610">
        <v>130</v>
      </c>
      <c r="N610">
        <v>130</v>
      </c>
      <c r="O610">
        <v>70</v>
      </c>
      <c r="P610">
        <v>69</v>
      </c>
      <c r="Q610">
        <v>155</v>
      </c>
      <c r="R610">
        <v>48</v>
      </c>
      <c r="S610">
        <v>0</v>
      </c>
      <c r="T610">
        <v>0</v>
      </c>
      <c r="U610">
        <v>5</v>
      </c>
      <c r="V610">
        <v>36</v>
      </c>
      <c r="W610">
        <v>1</v>
      </c>
      <c r="X610">
        <v>60</v>
      </c>
      <c r="Y610">
        <v>15</v>
      </c>
      <c r="Z610">
        <v>0</v>
      </c>
      <c r="AA610">
        <v>0</v>
      </c>
      <c r="AB610">
        <v>70</v>
      </c>
      <c r="AC610">
        <v>155</v>
      </c>
      <c r="AD610">
        <v>0</v>
      </c>
      <c r="AE610">
        <v>69</v>
      </c>
      <c r="AF610">
        <v>60</v>
      </c>
      <c r="AG610">
        <v>48</v>
      </c>
      <c r="AH610">
        <v>0</v>
      </c>
      <c r="AI610">
        <v>36</v>
      </c>
      <c r="AJ610">
        <v>541</v>
      </c>
      <c r="AK610">
        <v>515</v>
      </c>
      <c r="AL610">
        <v>515</v>
      </c>
      <c r="AM610">
        <v>0</v>
      </c>
      <c r="AN610">
        <v>0</v>
      </c>
      <c r="AO610">
        <v>0</v>
      </c>
      <c r="AP610">
        <v>0</v>
      </c>
      <c r="AQ610">
        <v>0</v>
      </c>
      <c r="AR610">
        <f t="shared" si="1565"/>
        <v>0</v>
      </c>
      <c r="AS610">
        <f>IF(AND(IFERROR(VLOOKUP(AJ610,Equip!$A:$N,13,FALSE),0)&gt;=5,IFERROR(VLOOKUP(AJ610,Equip!$A:$N,13,FALSE),0)&lt;=9),INT(VLOOKUP(AJ610,Equip!$A:$N,6,FALSE)*SQRT(AN610)),0)</f>
        <v>0</v>
      </c>
      <c r="AT610">
        <f>IF(AND(IFERROR(VLOOKUP(AK610,Equip!$A:$N,13,FALSE),0)&gt;=5,IFERROR(VLOOKUP(AK610,Equip!$A:$N,13,FALSE),0)&lt;=9),INT(VLOOKUP(AK610,Equip!$A:$N,6,FALSE)*SQRT(AO610)),0)</f>
        <v>0</v>
      </c>
      <c r="AU610">
        <f>IF(AND(IFERROR(VLOOKUP(AL610,Equip!$A:$N,13,FALSE),0)&gt;=5,IFERROR(VLOOKUP(AL610,Equip!$A:$N,13,FALSE),0)&lt;=9),INT(VLOOKUP(AL610,Equip!$A:$N,6,FALSE)*SQRT(AP610)),0)</f>
        <v>0</v>
      </c>
      <c r="AV610">
        <f>IF(AND(IFERROR(VLOOKUP(AM610,Equip!$A:$N,13,FALSE),0)&gt;=5,IFERROR(VLOOKUP(AM610,Equip!$A:$N,13,FALSE),0)&lt;=9),INT(VLOOKUP(AM610,Equip!$A:$N,6,FALSE)*SQRT(AQ610)),0)</f>
        <v>0</v>
      </c>
      <c r="AW610">
        <f t="shared" si="1563"/>
        <v>0</v>
      </c>
      <c r="AX610">
        <f t="shared" si="1564"/>
        <v>508</v>
      </c>
    </row>
    <row r="611" spans="1:50">
      <c r="A611">
        <v>646</v>
      </c>
      <c r="B611" t="s">
        <v>992</v>
      </c>
      <c r="C611" t="s">
        <v>992</v>
      </c>
      <c r="D611">
        <v>0</v>
      </c>
      <c r="E611">
        <v>0</v>
      </c>
      <c r="F611">
        <v>0</v>
      </c>
      <c r="G611">
        <v>644</v>
      </c>
      <c r="H611">
        <v>0</v>
      </c>
      <c r="I611">
        <v>0</v>
      </c>
      <c r="J611">
        <v>0</v>
      </c>
      <c r="K611">
        <v>14</v>
      </c>
      <c r="L611">
        <v>0</v>
      </c>
      <c r="M611">
        <v>160</v>
      </c>
      <c r="N611">
        <v>160</v>
      </c>
      <c r="O611">
        <v>90</v>
      </c>
      <c r="P611">
        <v>89</v>
      </c>
      <c r="Q611">
        <v>170</v>
      </c>
      <c r="R611">
        <v>68</v>
      </c>
      <c r="S611">
        <v>0</v>
      </c>
      <c r="T611">
        <v>0</v>
      </c>
      <c r="U611">
        <v>5</v>
      </c>
      <c r="V611">
        <v>48</v>
      </c>
      <c r="W611">
        <v>1</v>
      </c>
      <c r="X611">
        <v>80</v>
      </c>
      <c r="Y611">
        <v>20</v>
      </c>
      <c r="Z611">
        <v>0</v>
      </c>
      <c r="AA611">
        <v>0</v>
      </c>
      <c r="AB611">
        <v>90</v>
      </c>
      <c r="AC611">
        <v>170</v>
      </c>
      <c r="AD611">
        <v>0</v>
      </c>
      <c r="AE611">
        <v>89</v>
      </c>
      <c r="AF611">
        <v>80</v>
      </c>
      <c r="AG611">
        <v>68</v>
      </c>
      <c r="AH611">
        <v>0</v>
      </c>
      <c r="AI611">
        <v>48</v>
      </c>
      <c r="AJ611">
        <v>541</v>
      </c>
      <c r="AK611">
        <v>541</v>
      </c>
      <c r="AL611">
        <v>515</v>
      </c>
      <c r="AM611">
        <v>0</v>
      </c>
      <c r="AN611">
        <v>0</v>
      </c>
      <c r="AO611">
        <v>0</v>
      </c>
      <c r="AP611">
        <v>0</v>
      </c>
      <c r="AQ611">
        <v>0</v>
      </c>
      <c r="AR611">
        <f t="shared" si="1565"/>
        <v>0</v>
      </c>
      <c r="AS611">
        <f>IF(AND(IFERROR(VLOOKUP(AJ611,Equip!$A:$N,13,FALSE),0)&gt;=5,IFERROR(VLOOKUP(AJ611,Equip!$A:$N,13,FALSE),0)&lt;=9),INT(VLOOKUP(AJ611,Equip!$A:$N,6,FALSE)*SQRT(AN611)),0)</f>
        <v>0</v>
      </c>
      <c r="AT611">
        <f>IF(AND(IFERROR(VLOOKUP(AK611,Equip!$A:$N,13,FALSE),0)&gt;=5,IFERROR(VLOOKUP(AK611,Equip!$A:$N,13,FALSE),0)&lt;=9),INT(VLOOKUP(AK611,Equip!$A:$N,6,FALSE)*SQRT(AO611)),0)</f>
        <v>0</v>
      </c>
      <c r="AU611">
        <f>IF(AND(IFERROR(VLOOKUP(AL611,Equip!$A:$N,13,FALSE),0)&gt;=5,IFERROR(VLOOKUP(AL611,Equip!$A:$N,13,FALSE),0)&lt;=9),INT(VLOOKUP(AL611,Equip!$A:$N,6,FALSE)*SQRT(AP611)),0)</f>
        <v>0</v>
      </c>
      <c r="AV611">
        <f>IF(AND(IFERROR(VLOOKUP(AM611,Equip!$A:$N,13,FALSE),0)&gt;=5,IFERROR(VLOOKUP(AM611,Equip!$A:$N,13,FALSE),0)&lt;=9),INT(VLOOKUP(AM611,Equip!$A:$N,6,FALSE)*SQRT(AQ611)),0)</f>
        <v>0</v>
      </c>
      <c r="AW611">
        <f t="shared" si="1563"/>
        <v>0</v>
      </c>
      <c r="AX611">
        <f t="shared" si="1564"/>
        <v>625</v>
      </c>
    </row>
    <row r="612" spans="1:50">
      <c r="A612">
        <v>647</v>
      </c>
      <c r="B612" t="s">
        <v>993</v>
      </c>
      <c r="C612" t="s">
        <v>993</v>
      </c>
      <c r="D612">
        <v>0</v>
      </c>
      <c r="E612">
        <v>1330</v>
      </c>
      <c r="F612">
        <v>775</v>
      </c>
      <c r="G612">
        <v>647</v>
      </c>
      <c r="H612">
        <v>1</v>
      </c>
      <c r="I612">
        <v>0</v>
      </c>
      <c r="J612">
        <v>0</v>
      </c>
      <c r="K612">
        <v>1</v>
      </c>
      <c r="L612">
        <v>1</v>
      </c>
      <c r="M612">
        <v>255</v>
      </c>
      <c r="N612">
        <v>255</v>
      </c>
      <c r="O612">
        <v>100</v>
      </c>
      <c r="P612">
        <v>150</v>
      </c>
      <c r="Q612">
        <v>110</v>
      </c>
      <c r="R612">
        <v>77</v>
      </c>
      <c r="S612">
        <v>70</v>
      </c>
      <c r="T612">
        <v>80</v>
      </c>
      <c r="U612">
        <v>10</v>
      </c>
      <c r="V612">
        <v>70</v>
      </c>
      <c r="W612">
        <v>1</v>
      </c>
      <c r="X612">
        <v>80</v>
      </c>
      <c r="Y612">
        <v>10</v>
      </c>
      <c r="Z612">
        <v>0</v>
      </c>
      <c r="AA612">
        <v>0</v>
      </c>
      <c r="AB612">
        <v>100</v>
      </c>
      <c r="AC612">
        <v>110</v>
      </c>
      <c r="AD612">
        <v>70</v>
      </c>
      <c r="AE612">
        <v>150</v>
      </c>
      <c r="AF612">
        <v>80</v>
      </c>
      <c r="AG612">
        <v>77</v>
      </c>
      <c r="AH612">
        <v>80</v>
      </c>
      <c r="AI612">
        <v>70</v>
      </c>
      <c r="AJ612">
        <v>502</v>
      </c>
      <c r="AK612">
        <v>502</v>
      </c>
      <c r="AL612">
        <v>515</v>
      </c>
      <c r="AM612">
        <v>531</v>
      </c>
      <c r="AN612">
        <v>0</v>
      </c>
      <c r="AO612">
        <v>0</v>
      </c>
      <c r="AP612">
        <v>0</v>
      </c>
      <c r="AQ612">
        <v>0</v>
      </c>
      <c r="AR612">
        <f t="shared" si="1565"/>
        <v>0</v>
      </c>
      <c r="AS612">
        <f>IF(AND(IFERROR(VLOOKUP(AJ612,Equip!$A:$N,13,FALSE),0)&gt;=5,IFERROR(VLOOKUP(AJ612,Equip!$A:$N,13,FALSE),0)&lt;=9),INT(VLOOKUP(AJ612,Equip!$A:$N,6,FALSE)*SQRT(AN612)),0)</f>
        <v>0</v>
      </c>
      <c r="AT612">
        <f>IF(AND(IFERROR(VLOOKUP(AK612,Equip!$A:$N,13,FALSE),0)&gt;=5,IFERROR(VLOOKUP(AK612,Equip!$A:$N,13,FALSE),0)&lt;=9),INT(VLOOKUP(AK612,Equip!$A:$N,6,FALSE)*SQRT(AO612)),0)</f>
        <v>0</v>
      </c>
      <c r="AU612">
        <f>IF(AND(IFERROR(VLOOKUP(AL612,Equip!$A:$N,13,FALSE),0)&gt;=5,IFERROR(VLOOKUP(AL612,Equip!$A:$N,13,FALSE),0)&lt;=9),INT(VLOOKUP(AL612,Equip!$A:$N,6,FALSE)*SQRT(AP612)),0)</f>
        <v>0</v>
      </c>
      <c r="AV612">
        <f>IF(AND(IFERROR(VLOOKUP(AM612,Equip!$A:$N,13,FALSE),0)&gt;=5,IFERROR(VLOOKUP(AM612,Equip!$A:$N,13,FALSE),0)&lt;=9),INT(VLOOKUP(AM612,Equip!$A:$N,6,FALSE)*SQRT(AQ612)),0)</f>
        <v>0</v>
      </c>
      <c r="AW612">
        <f t="shared" si="1563"/>
        <v>0</v>
      </c>
      <c r="AX612">
        <f t="shared" si="1564"/>
        <v>912</v>
      </c>
    </row>
    <row r="613" spans="1:50">
      <c r="A613">
        <v>648</v>
      </c>
      <c r="B613" t="s">
        <v>993</v>
      </c>
      <c r="C613" t="s">
        <v>993</v>
      </c>
      <c r="D613">
        <v>0</v>
      </c>
      <c r="E613">
        <v>1330</v>
      </c>
      <c r="F613">
        <v>775</v>
      </c>
      <c r="G613">
        <v>647</v>
      </c>
      <c r="H613">
        <v>1</v>
      </c>
      <c r="I613">
        <v>0</v>
      </c>
      <c r="J613">
        <v>0</v>
      </c>
      <c r="K613">
        <v>1</v>
      </c>
      <c r="L613">
        <v>1</v>
      </c>
      <c r="M613">
        <v>255</v>
      </c>
      <c r="N613">
        <v>255</v>
      </c>
      <c r="O613">
        <v>120</v>
      </c>
      <c r="P613">
        <v>150</v>
      </c>
      <c r="Q613">
        <v>120</v>
      </c>
      <c r="R613">
        <v>82</v>
      </c>
      <c r="S613">
        <v>80</v>
      </c>
      <c r="T613">
        <v>88</v>
      </c>
      <c r="U613">
        <v>10</v>
      </c>
      <c r="V613">
        <v>80</v>
      </c>
      <c r="W613">
        <v>1</v>
      </c>
      <c r="X613">
        <v>85</v>
      </c>
      <c r="Y613">
        <v>15</v>
      </c>
      <c r="Z613">
        <v>0</v>
      </c>
      <c r="AA613">
        <v>0</v>
      </c>
      <c r="AB613">
        <v>120</v>
      </c>
      <c r="AC613">
        <v>120</v>
      </c>
      <c r="AD613">
        <v>80</v>
      </c>
      <c r="AE613">
        <v>150</v>
      </c>
      <c r="AF613">
        <v>85</v>
      </c>
      <c r="AG613">
        <v>82</v>
      </c>
      <c r="AH613">
        <v>88</v>
      </c>
      <c r="AI613">
        <v>80</v>
      </c>
      <c r="AJ613">
        <v>502</v>
      </c>
      <c r="AK613">
        <v>502</v>
      </c>
      <c r="AL613">
        <v>515</v>
      </c>
      <c r="AM613">
        <v>531</v>
      </c>
      <c r="AN613">
        <v>0</v>
      </c>
      <c r="AO613">
        <v>0</v>
      </c>
      <c r="AP613">
        <v>0</v>
      </c>
      <c r="AQ613">
        <v>0</v>
      </c>
      <c r="AR613">
        <f t="shared" si="1565"/>
        <v>0</v>
      </c>
      <c r="AS613">
        <f>IF(AND(IFERROR(VLOOKUP(AJ613,Equip!$A:$N,13,FALSE),0)&gt;=5,IFERROR(VLOOKUP(AJ613,Equip!$A:$N,13,FALSE),0)&lt;=9),INT(VLOOKUP(AJ613,Equip!$A:$N,6,FALSE)*SQRT(AN613)),0)</f>
        <v>0</v>
      </c>
      <c r="AT613">
        <f>IF(AND(IFERROR(VLOOKUP(AK613,Equip!$A:$N,13,FALSE),0)&gt;=5,IFERROR(VLOOKUP(AK613,Equip!$A:$N,13,FALSE),0)&lt;=9),INT(VLOOKUP(AK613,Equip!$A:$N,6,FALSE)*SQRT(AO613)),0)</f>
        <v>0</v>
      </c>
      <c r="AU613">
        <f>IF(AND(IFERROR(VLOOKUP(AL613,Equip!$A:$N,13,FALSE),0)&gt;=5,IFERROR(VLOOKUP(AL613,Equip!$A:$N,13,FALSE),0)&lt;=9),INT(VLOOKUP(AL613,Equip!$A:$N,6,FALSE)*SQRT(AP613)),0)</f>
        <v>0</v>
      </c>
      <c r="AV613">
        <f>IF(AND(IFERROR(VLOOKUP(AM613,Equip!$A:$N,13,FALSE),0)&gt;=5,IFERROR(VLOOKUP(AM613,Equip!$A:$N,13,FALSE),0)&lt;=9),INT(VLOOKUP(AM613,Equip!$A:$N,6,FALSE)*SQRT(AQ613)),0)</f>
        <v>0</v>
      </c>
      <c r="AW613">
        <f t="shared" si="1563"/>
        <v>0</v>
      </c>
      <c r="AX613">
        <f t="shared" si="1564"/>
        <v>975</v>
      </c>
    </row>
    <row r="614" spans="1:50">
      <c r="A614">
        <v>649</v>
      </c>
      <c r="B614" t="s">
        <v>993</v>
      </c>
      <c r="C614" t="s">
        <v>993</v>
      </c>
      <c r="D614">
        <v>0</v>
      </c>
      <c r="E614">
        <v>1330</v>
      </c>
      <c r="F614">
        <v>775</v>
      </c>
      <c r="G614">
        <v>647</v>
      </c>
      <c r="H614">
        <v>1</v>
      </c>
      <c r="I614">
        <v>0</v>
      </c>
      <c r="J614">
        <v>0</v>
      </c>
      <c r="K614">
        <v>1</v>
      </c>
      <c r="L614">
        <v>1</v>
      </c>
      <c r="M614">
        <v>255</v>
      </c>
      <c r="N614">
        <v>255</v>
      </c>
      <c r="O614">
        <v>140</v>
      </c>
      <c r="P614">
        <v>150</v>
      </c>
      <c r="Q614">
        <v>130</v>
      </c>
      <c r="R614">
        <v>87</v>
      </c>
      <c r="S614">
        <v>90</v>
      </c>
      <c r="T614">
        <v>98</v>
      </c>
      <c r="U614">
        <v>10</v>
      </c>
      <c r="V614">
        <v>90</v>
      </c>
      <c r="W614">
        <v>1</v>
      </c>
      <c r="X614">
        <v>90</v>
      </c>
      <c r="Y614">
        <v>20</v>
      </c>
      <c r="Z614">
        <v>0</v>
      </c>
      <c r="AA614">
        <v>0</v>
      </c>
      <c r="AB614">
        <v>140</v>
      </c>
      <c r="AC614">
        <v>130</v>
      </c>
      <c r="AD614">
        <v>90</v>
      </c>
      <c r="AE614">
        <v>150</v>
      </c>
      <c r="AF614">
        <v>90</v>
      </c>
      <c r="AG614">
        <v>87</v>
      </c>
      <c r="AH614">
        <v>98</v>
      </c>
      <c r="AI614">
        <v>90</v>
      </c>
      <c r="AJ614">
        <v>502</v>
      </c>
      <c r="AK614">
        <v>502</v>
      </c>
      <c r="AL614">
        <v>541</v>
      </c>
      <c r="AM614">
        <v>531</v>
      </c>
      <c r="AN614">
        <v>0</v>
      </c>
      <c r="AO614">
        <v>0</v>
      </c>
      <c r="AP614">
        <v>0</v>
      </c>
      <c r="AQ614">
        <v>0</v>
      </c>
      <c r="AR614">
        <f t="shared" si="1565"/>
        <v>0</v>
      </c>
      <c r="AS614">
        <f>IF(AND(IFERROR(VLOOKUP(AJ614,Equip!$A:$N,13,FALSE),0)&gt;=5,IFERROR(VLOOKUP(AJ614,Equip!$A:$N,13,FALSE),0)&lt;=9),INT(VLOOKUP(AJ614,Equip!$A:$N,6,FALSE)*SQRT(AN614)),0)</f>
        <v>0</v>
      </c>
      <c r="AT614">
        <f>IF(AND(IFERROR(VLOOKUP(AK614,Equip!$A:$N,13,FALSE),0)&gt;=5,IFERROR(VLOOKUP(AK614,Equip!$A:$N,13,FALSE),0)&lt;=9),INT(VLOOKUP(AK614,Equip!$A:$N,6,FALSE)*SQRT(AO614)),0)</f>
        <v>0</v>
      </c>
      <c r="AU614">
        <f>IF(AND(IFERROR(VLOOKUP(AL614,Equip!$A:$N,13,FALSE),0)&gt;=5,IFERROR(VLOOKUP(AL614,Equip!$A:$N,13,FALSE),0)&lt;=9),INT(VLOOKUP(AL614,Equip!$A:$N,6,FALSE)*SQRT(AP614)),0)</f>
        <v>0</v>
      </c>
      <c r="AV614">
        <f>IF(AND(IFERROR(VLOOKUP(AM614,Equip!$A:$N,13,FALSE),0)&gt;=5,IFERROR(VLOOKUP(AM614,Equip!$A:$N,13,FALSE),0)&lt;=9),INT(VLOOKUP(AM614,Equip!$A:$N,6,FALSE)*SQRT(AQ614)),0)</f>
        <v>0</v>
      </c>
      <c r="AW614">
        <f t="shared" si="1563"/>
        <v>0</v>
      </c>
      <c r="AX614">
        <f t="shared" si="1564"/>
        <v>1040</v>
      </c>
    </row>
    <row r="615" spans="1:50">
      <c r="A615">
        <v>650</v>
      </c>
      <c r="B615" t="s">
        <v>958</v>
      </c>
      <c r="C615" t="s">
        <v>958</v>
      </c>
      <c r="D615">
        <v>0</v>
      </c>
      <c r="E615">
        <v>0</v>
      </c>
      <c r="F615">
        <v>0</v>
      </c>
      <c r="G615">
        <v>556</v>
      </c>
      <c r="H615">
        <v>0</v>
      </c>
      <c r="I615">
        <v>0</v>
      </c>
      <c r="J615">
        <v>0</v>
      </c>
      <c r="K615">
        <v>7</v>
      </c>
      <c r="L615">
        <v>0</v>
      </c>
      <c r="M615">
        <v>500</v>
      </c>
      <c r="N615">
        <v>500</v>
      </c>
      <c r="O615">
        <v>50</v>
      </c>
      <c r="P615">
        <v>140</v>
      </c>
      <c r="Q615">
        <v>0</v>
      </c>
      <c r="R615">
        <v>1</v>
      </c>
      <c r="S615">
        <v>120</v>
      </c>
      <c r="T615">
        <v>0</v>
      </c>
      <c r="U615">
        <v>0</v>
      </c>
      <c r="V615">
        <v>90</v>
      </c>
      <c r="W615">
        <v>2</v>
      </c>
      <c r="X615">
        <v>10</v>
      </c>
      <c r="Y615">
        <v>10</v>
      </c>
      <c r="Z615">
        <v>0</v>
      </c>
      <c r="AA615">
        <v>0</v>
      </c>
      <c r="AB615">
        <v>50</v>
      </c>
      <c r="AC615">
        <v>0</v>
      </c>
      <c r="AD615">
        <v>120</v>
      </c>
      <c r="AE615">
        <v>140</v>
      </c>
      <c r="AF615">
        <v>10</v>
      </c>
      <c r="AG615">
        <v>1</v>
      </c>
      <c r="AH615">
        <v>0</v>
      </c>
      <c r="AI615">
        <v>90</v>
      </c>
      <c r="AJ615">
        <v>561</v>
      </c>
      <c r="AK615">
        <v>561</v>
      </c>
      <c r="AL615">
        <v>561</v>
      </c>
      <c r="AM615">
        <v>561</v>
      </c>
      <c r="AN615">
        <v>12</v>
      </c>
      <c r="AO615">
        <v>12</v>
      </c>
      <c r="AP615">
        <v>6</v>
      </c>
      <c r="AQ615">
        <v>6</v>
      </c>
      <c r="AR615">
        <f t="shared" si="1565"/>
        <v>36</v>
      </c>
      <c r="AS615">
        <f>IF(AND(IFERROR(VLOOKUP(AJ615,Equip!$A:$N,13,FALSE),0)&gt;=5,IFERROR(VLOOKUP(AJ615,Equip!$A:$N,13,FALSE),0)&lt;=9),INT(VLOOKUP(AJ615,Equip!$A:$N,6,FALSE)*SQRT(AN615)),0)</f>
        <v>0</v>
      </c>
      <c r="AT615">
        <f>IF(AND(IFERROR(VLOOKUP(AK615,Equip!$A:$N,13,FALSE),0)&gt;=5,IFERROR(VLOOKUP(AK615,Equip!$A:$N,13,FALSE),0)&lt;=9),INT(VLOOKUP(AK615,Equip!$A:$N,6,FALSE)*SQRT(AO615)),0)</f>
        <v>0</v>
      </c>
      <c r="AU615">
        <f>IF(AND(IFERROR(VLOOKUP(AL615,Equip!$A:$N,13,FALSE),0)&gt;=5,IFERROR(VLOOKUP(AL615,Equip!$A:$N,13,FALSE),0)&lt;=9),INT(VLOOKUP(AL615,Equip!$A:$N,6,FALSE)*SQRT(AP615)),0)</f>
        <v>0</v>
      </c>
      <c r="AV615">
        <f>IF(AND(IFERROR(VLOOKUP(AM615,Equip!$A:$N,13,FALSE),0)&gt;=5,IFERROR(VLOOKUP(AM615,Equip!$A:$N,13,FALSE),0)&lt;=9),INT(VLOOKUP(AM615,Equip!$A:$N,6,FALSE)*SQRT(AQ615)),0)</f>
        <v>0</v>
      </c>
      <c r="AW615">
        <f t="shared" si="1563"/>
        <v>0</v>
      </c>
      <c r="AX615">
        <f t="shared" si="1564"/>
        <v>901</v>
      </c>
    </row>
    <row r="616" spans="1:50">
      <c r="A616">
        <v>651</v>
      </c>
      <c r="B616" t="s">
        <v>958</v>
      </c>
      <c r="C616" t="s">
        <v>958</v>
      </c>
      <c r="D616">
        <v>0</v>
      </c>
      <c r="E616">
        <v>0</v>
      </c>
      <c r="F616">
        <v>0</v>
      </c>
      <c r="G616">
        <v>556</v>
      </c>
      <c r="H616">
        <v>0</v>
      </c>
      <c r="I616">
        <v>0</v>
      </c>
      <c r="J616">
        <v>0</v>
      </c>
      <c r="K616">
        <v>7</v>
      </c>
      <c r="L616">
        <v>0</v>
      </c>
      <c r="M616">
        <v>500</v>
      </c>
      <c r="N616">
        <v>500</v>
      </c>
      <c r="O616">
        <v>60</v>
      </c>
      <c r="P616">
        <v>140</v>
      </c>
      <c r="Q616">
        <v>0</v>
      </c>
      <c r="R616">
        <v>1</v>
      </c>
      <c r="S616">
        <v>120</v>
      </c>
      <c r="T616">
        <v>0</v>
      </c>
      <c r="U616">
        <v>0</v>
      </c>
      <c r="V616">
        <v>95</v>
      </c>
      <c r="W616">
        <v>2</v>
      </c>
      <c r="X616">
        <v>15</v>
      </c>
      <c r="Y616">
        <v>15</v>
      </c>
      <c r="Z616">
        <v>0</v>
      </c>
      <c r="AA616">
        <v>0</v>
      </c>
      <c r="AB616">
        <v>60</v>
      </c>
      <c r="AC616">
        <v>0</v>
      </c>
      <c r="AD616">
        <v>120</v>
      </c>
      <c r="AE616">
        <v>140</v>
      </c>
      <c r="AF616">
        <v>15</v>
      </c>
      <c r="AG616">
        <v>1</v>
      </c>
      <c r="AH616">
        <v>0</v>
      </c>
      <c r="AI616">
        <v>95</v>
      </c>
      <c r="AJ616">
        <v>562</v>
      </c>
      <c r="AK616">
        <v>561</v>
      </c>
      <c r="AL616">
        <v>561</v>
      </c>
      <c r="AM616">
        <v>561</v>
      </c>
      <c r="AN616">
        <v>16</v>
      </c>
      <c r="AO616">
        <v>16</v>
      </c>
      <c r="AP616">
        <v>8</v>
      </c>
      <c r="AQ616">
        <v>8</v>
      </c>
      <c r="AR616">
        <f t="shared" si="1565"/>
        <v>48</v>
      </c>
      <c r="AS616">
        <f>IF(AND(IFERROR(VLOOKUP(AJ616,Equip!$A:$N,13,FALSE),0)&gt;=5,IFERROR(VLOOKUP(AJ616,Equip!$A:$N,13,FALSE),0)&lt;=9),INT(VLOOKUP(AJ616,Equip!$A:$N,6,FALSE)*SQRT(AN616)),0)</f>
        <v>0</v>
      </c>
      <c r="AT616">
        <f>IF(AND(IFERROR(VLOOKUP(AK616,Equip!$A:$N,13,FALSE),0)&gt;=5,IFERROR(VLOOKUP(AK616,Equip!$A:$N,13,FALSE),0)&lt;=9),INT(VLOOKUP(AK616,Equip!$A:$N,6,FALSE)*SQRT(AO616)),0)</f>
        <v>0</v>
      </c>
      <c r="AU616">
        <f>IF(AND(IFERROR(VLOOKUP(AL616,Equip!$A:$N,13,FALSE),0)&gt;=5,IFERROR(VLOOKUP(AL616,Equip!$A:$N,13,FALSE),0)&lt;=9),INT(VLOOKUP(AL616,Equip!$A:$N,6,FALSE)*SQRT(AP616)),0)</f>
        <v>0</v>
      </c>
      <c r="AV616">
        <f>IF(AND(IFERROR(VLOOKUP(AM616,Equip!$A:$N,13,FALSE),0)&gt;=5,IFERROR(VLOOKUP(AM616,Equip!$A:$N,13,FALSE),0)&lt;=9),INT(VLOOKUP(AM616,Equip!$A:$N,6,FALSE)*SQRT(AQ616)),0)</f>
        <v>0</v>
      </c>
      <c r="AW616">
        <f t="shared" si="1563"/>
        <v>0</v>
      </c>
      <c r="AX616">
        <f t="shared" si="1564"/>
        <v>916</v>
      </c>
    </row>
    <row r="617" spans="1:50">
      <c r="A617">
        <v>652</v>
      </c>
      <c r="B617" t="s">
        <v>958</v>
      </c>
      <c r="C617" t="s">
        <v>958</v>
      </c>
      <c r="D617">
        <v>0</v>
      </c>
      <c r="E617">
        <v>0</v>
      </c>
      <c r="F617">
        <v>0</v>
      </c>
      <c r="G617">
        <v>556</v>
      </c>
      <c r="H617">
        <v>0</v>
      </c>
      <c r="I617">
        <v>0</v>
      </c>
      <c r="J617">
        <v>0</v>
      </c>
      <c r="K617">
        <v>7</v>
      </c>
      <c r="L617">
        <v>0</v>
      </c>
      <c r="M617">
        <v>500</v>
      </c>
      <c r="N617">
        <v>500</v>
      </c>
      <c r="O617">
        <v>70</v>
      </c>
      <c r="P617">
        <v>140</v>
      </c>
      <c r="Q617">
        <v>0</v>
      </c>
      <c r="R617">
        <v>1</v>
      </c>
      <c r="S617">
        <v>120</v>
      </c>
      <c r="T617">
        <v>0</v>
      </c>
      <c r="U617">
        <v>0</v>
      </c>
      <c r="V617">
        <v>100</v>
      </c>
      <c r="W617">
        <v>2</v>
      </c>
      <c r="X617">
        <v>20</v>
      </c>
      <c r="Y617">
        <v>20</v>
      </c>
      <c r="Z617">
        <v>0</v>
      </c>
      <c r="AA617">
        <v>0</v>
      </c>
      <c r="AB617">
        <v>70</v>
      </c>
      <c r="AC617">
        <v>0</v>
      </c>
      <c r="AD617">
        <v>120</v>
      </c>
      <c r="AE617">
        <v>140</v>
      </c>
      <c r="AF617">
        <v>20</v>
      </c>
      <c r="AG617">
        <v>1</v>
      </c>
      <c r="AH617">
        <v>0</v>
      </c>
      <c r="AI617">
        <v>100</v>
      </c>
      <c r="AJ617">
        <v>562</v>
      </c>
      <c r="AK617">
        <v>562</v>
      </c>
      <c r="AL617">
        <v>561</v>
      </c>
      <c r="AM617">
        <v>561</v>
      </c>
      <c r="AN617">
        <v>24</v>
      </c>
      <c r="AO617">
        <v>24</v>
      </c>
      <c r="AP617">
        <v>12</v>
      </c>
      <c r="AQ617">
        <v>12</v>
      </c>
      <c r="AR617">
        <f t="shared" si="1565"/>
        <v>72</v>
      </c>
      <c r="AS617">
        <f>IF(AND(IFERROR(VLOOKUP(AJ617,Equip!$A:$N,13,FALSE),0)&gt;=5,IFERROR(VLOOKUP(AJ617,Equip!$A:$N,13,FALSE),0)&lt;=9),INT(VLOOKUP(AJ617,Equip!$A:$N,6,FALSE)*SQRT(AN617)),0)</f>
        <v>0</v>
      </c>
      <c r="AT617">
        <f>IF(AND(IFERROR(VLOOKUP(AK617,Equip!$A:$N,13,FALSE),0)&gt;=5,IFERROR(VLOOKUP(AK617,Equip!$A:$N,13,FALSE),0)&lt;=9),INT(VLOOKUP(AK617,Equip!$A:$N,6,FALSE)*SQRT(AO617)),0)</f>
        <v>0</v>
      </c>
      <c r="AU617">
        <f>IF(AND(IFERROR(VLOOKUP(AL617,Equip!$A:$N,13,FALSE),0)&gt;=5,IFERROR(VLOOKUP(AL617,Equip!$A:$N,13,FALSE),0)&lt;=9),INT(VLOOKUP(AL617,Equip!$A:$N,6,FALSE)*SQRT(AP617)),0)</f>
        <v>0</v>
      </c>
      <c r="AV617">
        <f>IF(AND(IFERROR(VLOOKUP(AM617,Equip!$A:$N,13,FALSE),0)&gt;=5,IFERROR(VLOOKUP(AM617,Equip!$A:$N,13,FALSE),0)&lt;=9),INT(VLOOKUP(AM617,Equip!$A:$N,6,FALSE)*SQRT(AQ617)),0)</f>
        <v>0</v>
      </c>
      <c r="AW617">
        <f t="shared" si="1563"/>
        <v>0</v>
      </c>
      <c r="AX617">
        <f t="shared" si="1564"/>
        <v>931</v>
      </c>
    </row>
    <row r="618" spans="1:50">
      <c r="A618">
        <v>653</v>
      </c>
      <c r="B618" t="s">
        <v>994</v>
      </c>
      <c r="C618" t="s">
        <v>994</v>
      </c>
      <c r="D618">
        <v>0</v>
      </c>
      <c r="E618">
        <v>0</v>
      </c>
      <c r="F618">
        <v>0</v>
      </c>
      <c r="G618">
        <v>653</v>
      </c>
      <c r="H618">
        <v>0</v>
      </c>
      <c r="I618">
        <v>0</v>
      </c>
      <c r="J618">
        <v>0</v>
      </c>
      <c r="K618">
        <v>7</v>
      </c>
      <c r="L618">
        <v>0</v>
      </c>
      <c r="M618">
        <v>600</v>
      </c>
      <c r="N618">
        <v>600</v>
      </c>
      <c r="O618">
        <v>70</v>
      </c>
      <c r="P618">
        <v>100</v>
      </c>
      <c r="Q618">
        <v>88</v>
      </c>
      <c r="R618">
        <v>5</v>
      </c>
      <c r="S618">
        <v>60</v>
      </c>
      <c r="T618">
        <v>0</v>
      </c>
      <c r="U618">
        <v>0</v>
      </c>
      <c r="V618">
        <v>80</v>
      </c>
      <c r="W618">
        <v>3</v>
      </c>
      <c r="X618">
        <v>50</v>
      </c>
      <c r="Y618">
        <v>10</v>
      </c>
      <c r="Z618">
        <v>0</v>
      </c>
      <c r="AA618">
        <v>0</v>
      </c>
      <c r="AB618">
        <v>70</v>
      </c>
      <c r="AC618">
        <v>88</v>
      </c>
      <c r="AD618">
        <v>60</v>
      </c>
      <c r="AE618">
        <v>100</v>
      </c>
      <c r="AF618">
        <v>50</v>
      </c>
      <c r="AG618">
        <v>5</v>
      </c>
      <c r="AH618">
        <v>0</v>
      </c>
      <c r="AI618">
        <v>80</v>
      </c>
      <c r="AJ618">
        <v>561</v>
      </c>
      <c r="AK618">
        <v>561</v>
      </c>
      <c r="AL618">
        <v>561</v>
      </c>
      <c r="AM618">
        <v>561</v>
      </c>
      <c r="AN618">
        <v>12</v>
      </c>
      <c r="AO618">
        <v>12</v>
      </c>
      <c r="AP618">
        <v>6</v>
      </c>
      <c r="AQ618">
        <v>6</v>
      </c>
      <c r="AR618">
        <f t="shared" si="1565"/>
        <v>36</v>
      </c>
      <c r="AS618">
        <f>IF(AND(IFERROR(VLOOKUP(AJ618,Equip!$A:$N,13,FALSE),0)&gt;=5,IFERROR(VLOOKUP(AJ618,Equip!$A:$N,13,FALSE),0)&lt;=9),INT(VLOOKUP(AJ618,Equip!$A:$N,6,FALSE)*SQRT(AN618)),0)</f>
        <v>0</v>
      </c>
      <c r="AT618">
        <f>IF(AND(IFERROR(VLOOKUP(AK618,Equip!$A:$N,13,FALSE),0)&gt;=5,IFERROR(VLOOKUP(AK618,Equip!$A:$N,13,FALSE),0)&lt;=9),INT(VLOOKUP(AK618,Equip!$A:$N,6,FALSE)*SQRT(AO618)),0)</f>
        <v>0</v>
      </c>
      <c r="AU618">
        <f>IF(AND(IFERROR(VLOOKUP(AL618,Equip!$A:$N,13,FALSE),0)&gt;=5,IFERROR(VLOOKUP(AL618,Equip!$A:$N,13,FALSE),0)&lt;=9),INT(VLOOKUP(AL618,Equip!$A:$N,6,FALSE)*SQRT(AP618)),0)</f>
        <v>0</v>
      </c>
      <c r="AV618">
        <f>IF(AND(IFERROR(VLOOKUP(AM618,Equip!$A:$N,13,FALSE),0)&gt;=5,IFERROR(VLOOKUP(AM618,Equip!$A:$N,13,FALSE),0)&lt;=9),INT(VLOOKUP(AM618,Equip!$A:$N,6,FALSE)*SQRT(AQ618)),0)</f>
        <v>0</v>
      </c>
      <c r="AW618">
        <f t="shared" si="1563"/>
        <v>0</v>
      </c>
      <c r="AX618">
        <f t="shared" si="1564"/>
        <v>1003</v>
      </c>
    </row>
    <row r="619" spans="1:50">
      <c r="A619">
        <v>654</v>
      </c>
      <c r="B619" t="s">
        <v>994</v>
      </c>
      <c r="C619" t="s">
        <v>994</v>
      </c>
      <c r="D619">
        <v>0</v>
      </c>
      <c r="E619">
        <v>0</v>
      </c>
      <c r="F619">
        <v>0</v>
      </c>
      <c r="G619">
        <v>653</v>
      </c>
      <c r="H619">
        <v>0</v>
      </c>
      <c r="I619">
        <v>0</v>
      </c>
      <c r="J619">
        <v>0</v>
      </c>
      <c r="K619">
        <v>7</v>
      </c>
      <c r="L619">
        <v>0</v>
      </c>
      <c r="M619">
        <v>600</v>
      </c>
      <c r="N619">
        <v>600</v>
      </c>
      <c r="O619">
        <v>90</v>
      </c>
      <c r="P619">
        <v>130</v>
      </c>
      <c r="Q619">
        <v>98</v>
      </c>
      <c r="R619">
        <v>10</v>
      </c>
      <c r="S619">
        <v>70</v>
      </c>
      <c r="T619">
        <v>0</v>
      </c>
      <c r="U619">
        <v>0</v>
      </c>
      <c r="V619">
        <v>100</v>
      </c>
      <c r="W619">
        <v>3</v>
      </c>
      <c r="X619">
        <v>60</v>
      </c>
      <c r="Y619">
        <v>15</v>
      </c>
      <c r="Z619">
        <v>0</v>
      </c>
      <c r="AA619">
        <v>0</v>
      </c>
      <c r="AB619">
        <v>90</v>
      </c>
      <c r="AC619">
        <v>98</v>
      </c>
      <c r="AD619">
        <v>70</v>
      </c>
      <c r="AE619">
        <v>130</v>
      </c>
      <c r="AF619">
        <v>60</v>
      </c>
      <c r="AG619">
        <v>10</v>
      </c>
      <c r="AH619">
        <v>0</v>
      </c>
      <c r="AI619">
        <v>100</v>
      </c>
      <c r="AJ619">
        <v>562</v>
      </c>
      <c r="AK619">
        <v>561</v>
      </c>
      <c r="AL619">
        <v>561</v>
      </c>
      <c r="AM619">
        <v>561</v>
      </c>
      <c r="AN619">
        <v>24</v>
      </c>
      <c r="AO619">
        <v>12</v>
      </c>
      <c r="AP619">
        <v>6</v>
      </c>
      <c r="AQ619">
        <v>6</v>
      </c>
      <c r="AR619">
        <f t="shared" si="1565"/>
        <v>48</v>
      </c>
      <c r="AS619">
        <f>IF(AND(IFERROR(VLOOKUP(AJ619,Equip!$A:$N,13,FALSE),0)&gt;=5,IFERROR(VLOOKUP(AJ619,Equip!$A:$N,13,FALSE),0)&lt;=9),INT(VLOOKUP(AJ619,Equip!$A:$N,6,FALSE)*SQRT(AN619)),0)</f>
        <v>0</v>
      </c>
      <c r="AT619">
        <f>IF(AND(IFERROR(VLOOKUP(AK619,Equip!$A:$N,13,FALSE),0)&gt;=5,IFERROR(VLOOKUP(AK619,Equip!$A:$N,13,FALSE),0)&lt;=9),INT(VLOOKUP(AK619,Equip!$A:$N,6,FALSE)*SQRT(AO619)),0)</f>
        <v>0</v>
      </c>
      <c r="AU619">
        <f>IF(AND(IFERROR(VLOOKUP(AL619,Equip!$A:$N,13,FALSE),0)&gt;=5,IFERROR(VLOOKUP(AL619,Equip!$A:$N,13,FALSE),0)&lt;=9),INT(VLOOKUP(AL619,Equip!$A:$N,6,FALSE)*SQRT(AP619)),0)</f>
        <v>0</v>
      </c>
      <c r="AV619">
        <f>IF(AND(IFERROR(VLOOKUP(AM619,Equip!$A:$N,13,FALSE),0)&gt;=5,IFERROR(VLOOKUP(AM619,Equip!$A:$N,13,FALSE),0)&lt;=9),INT(VLOOKUP(AM619,Equip!$A:$N,6,FALSE)*SQRT(AQ619)),0)</f>
        <v>0</v>
      </c>
      <c r="AW619">
        <f t="shared" si="1563"/>
        <v>0</v>
      </c>
      <c r="AX619">
        <f t="shared" si="1564"/>
        <v>1098</v>
      </c>
    </row>
    <row r="620" spans="1:50">
      <c r="A620">
        <v>655</v>
      </c>
      <c r="B620" t="s">
        <v>994</v>
      </c>
      <c r="C620" t="s">
        <v>994</v>
      </c>
      <c r="D620">
        <v>0</v>
      </c>
      <c r="E620">
        <v>0</v>
      </c>
      <c r="F620">
        <v>0</v>
      </c>
      <c r="G620">
        <v>653</v>
      </c>
      <c r="H620">
        <v>0</v>
      </c>
      <c r="I620">
        <v>0</v>
      </c>
      <c r="J620">
        <v>0</v>
      </c>
      <c r="K620">
        <v>7</v>
      </c>
      <c r="L620">
        <v>0</v>
      </c>
      <c r="M620">
        <v>600</v>
      </c>
      <c r="N620">
        <v>600</v>
      </c>
      <c r="O620">
        <v>130</v>
      </c>
      <c r="P620">
        <v>160</v>
      </c>
      <c r="Q620">
        <v>118</v>
      </c>
      <c r="R620">
        <v>15</v>
      </c>
      <c r="S620">
        <v>80</v>
      </c>
      <c r="T620">
        <v>0</v>
      </c>
      <c r="U620">
        <v>0</v>
      </c>
      <c r="V620">
        <v>120</v>
      </c>
      <c r="W620">
        <v>3</v>
      </c>
      <c r="X620">
        <v>70</v>
      </c>
      <c r="Y620">
        <v>20</v>
      </c>
      <c r="Z620">
        <v>0</v>
      </c>
      <c r="AA620">
        <v>0</v>
      </c>
      <c r="AB620">
        <v>130</v>
      </c>
      <c r="AC620">
        <v>118</v>
      </c>
      <c r="AD620">
        <v>80</v>
      </c>
      <c r="AE620">
        <v>160</v>
      </c>
      <c r="AF620">
        <v>70</v>
      </c>
      <c r="AG620">
        <v>15</v>
      </c>
      <c r="AH620">
        <v>0</v>
      </c>
      <c r="AI620">
        <v>120</v>
      </c>
      <c r="AJ620">
        <v>562</v>
      </c>
      <c r="AK620">
        <v>562</v>
      </c>
      <c r="AL620">
        <v>561</v>
      </c>
      <c r="AM620">
        <v>561</v>
      </c>
      <c r="AN620">
        <v>24</v>
      </c>
      <c r="AO620">
        <v>24</v>
      </c>
      <c r="AP620">
        <v>12</v>
      </c>
      <c r="AQ620">
        <v>12</v>
      </c>
      <c r="AR620">
        <f t="shared" si="1565"/>
        <v>72</v>
      </c>
      <c r="AS620">
        <f>IF(AND(IFERROR(VLOOKUP(AJ620,Equip!$A:$N,13,FALSE),0)&gt;=5,IFERROR(VLOOKUP(AJ620,Equip!$A:$N,13,FALSE),0)&lt;=9),INT(VLOOKUP(AJ620,Equip!$A:$N,6,FALSE)*SQRT(AN620)),0)</f>
        <v>0</v>
      </c>
      <c r="AT620">
        <f>IF(AND(IFERROR(VLOOKUP(AK620,Equip!$A:$N,13,FALSE),0)&gt;=5,IFERROR(VLOOKUP(AK620,Equip!$A:$N,13,FALSE),0)&lt;=9),INT(VLOOKUP(AK620,Equip!$A:$N,6,FALSE)*SQRT(AO620)),0)</f>
        <v>0</v>
      </c>
      <c r="AU620">
        <f>IF(AND(IFERROR(VLOOKUP(AL620,Equip!$A:$N,13,FALSE),0)&gt;=5,IFERROR(VLOOKUP(AL620,Equip!$A:$N,13,FALSE),0)&lt;=9),INT(VLOOKUP(AL620,Equip!$A:$N,6,FALSE)*SQRT(AP620)),0)</f>
        <v>0</v>
      </c>
      <c r="AV620">
        <f>IF(AND(IFERROR(VLOOKUP(AM620,Equip!$A:$N,13,FALSE),0)&gt;=5,IFERROR(VLOOKUP(AM620,Equip!$A:$N,13,FALSE),0)&lt;=9),INT(VLOOKUP(AM620,Equip!$A:$N,6,FALSE)*SQRT(AQ620)),0)</f>
        <v>0</v>
      </c>
      <c r="AW620">
        <f t="shared" si="1563"/>
        <v>0</v>
      </c>
      <c r="AX620">
        <f t="shared" si="1564"/>
        <v>1223</v>
      </c>
    </row>
    <row r="621" spans="1:50">
      <c r="A621">
        <v>656</v>
      </c>
      <c r="B621" t="s">
        <v>995</v>
      </c>
      <c r="C621" t="s">
        <v>995</v>
      </c>
      <c r="D621">
        <v>0</v>
      </c>
      <c r="E621">
        <v>0</v>
      </c>
      <c r="F621">
        <v>0</v>
      </c>
      <c r="G621">
        <v>653</v>
      </c>
      <c r="H621">
        <v>0</v>
      </c>
      <c r="I621">
        <v>0</v>
      </c>
      <c r="J621">
        <v>0</v>
      </c>
      <c r="K621">
        <v>7</v>
      </c>
      <c r="L621">
        <v>0</v>
      </c>
      <c r="M621">
        <v>380</v>
      </c>
      <c r="N621">
        <v>380</v>
      </c>
      <c r="O621">
        <v>130</v>
      </c>
      <c r="P621">
        <v>130</v>
      </c>
      <c r="Q621">
        <v>88</v>
      </c>
      <c r="R621">
        <v>10</v>
      </c>
      <c r="S621">
        <v>70</v>
      </c>
      <c r="T621">
        <v>0</v>
      </c>
      <c r="U621">
        <v>0</v>
      </c>
      <c r="V621">
        <v>90</v>
      </c>
      <c r="W621">
        <v>3</v>
      </c>
      <c r="X621">
        <v>60</v>
      </c>
      <c r="Y621">
        <v>10</v>
      </c>
      <c r="Z621">
        <v>0</v>
      </c>
      <c r="AA621">
        <v>0</v>
      </c>
      <c r="AB621">
        <v>130</v>
      </c>
      <c r="AC621">
        <v>88</v>
      </c>
      <c r="AD621">
        <v>70</v>
      </c>
      <c r="AE621">
        <v>130</v>
      </c>
      <c r="AF621">
        <v>60</v>
      </c>
      <c r="AG621">
        <v>10</v>
      </c>
      <c r="AH621">
        <v>0</v>
      </c>
      <c r="AI621">
        <v>90</v>
      </c>
      <c r="AJ621">
        <v>562</v>
      </c>
      <c r="AK621">
        <v>561</v>
      </c>
      <c r="AL621">
        <v>561</v>
      </c>
      <c r="AM621">
        <v>561</v>
      </c>
      <c r="AN621">
        <v>24</v>
      </c>
      <c r="AO621">
        <v>12</v>
      </c>
      <c r="AP621">
        <v>6</v>
      </c>
      <c r="AQ621">
        <v>6</v>
      </c>
      <c r="AR621">
        <f t="shared" si="1565"/>
        <v>48</v>
      </c>
      <c r="AS621">
        <f>IF(AND(IFERROR(VLOOKUP(AJ621,Equip!$A:$N,13,FALSE),0)&gt;=5,IFERROR(VLOOKUP(AJ621,Equip!$A:$N,13,FALSE),0)&lt;=9),INT(VLOOKUP(AJ621,Equip!$A:$N,6,FALSE)*SQRT(AN621)),0)</f>
        <v>0</v>
      </c>
      <c r="AT621">
        <f>IF(AND(IFERROR(VLOOKUP(AK621,Equip!$A:$N,13,FALSE),0)&gt;=5,IFERROR(VLOOKUP(AK621,Equip!$A:$N,13,FALSE),0)&lt;=9),INT(VLOOKUP(AK621,Equip!$A:$N,6,FALSE)*SQRT(AO621)),0)</f>
        <v>0</v>
      </c>
      <c r="AU621">
        <f>IF(AND(IFERROR(VLOOKUP(AL621,Equip!$A:$N,13,FALSE),0)&gt;=5,IFERROR(VLOOKUP(AL621,Equip!$A:$N,13,FALSE),0)&lt;=9),INT(VLOOKUP(AL621,Equip!$A:$N,6,FALSE)*SQRT(AP621)),0)</f>
        <v>0</v>
      </c>
      <c r="AV621">
        <f>IF(AND(IFERROR(VLOOKUP(AM621,Equip!$A:$N,13,FALSE),0)&gt;=5,IFERROR(VLOOKUP(AM621,Equip!$A:$N,13,FALSE),0)&lt;=9),INT(VLOOKUP(AM621,Equip!$A:$N,6,FALSE)*SQRT(AQ621)),0)</f>
        <v>0</v>
      </c>
      <c r="AW621">
        <f t="shared" si="1563"/>
        <v>0</v>
      </c>
      <c r="AX621">
        <f t="shared" si="1564"/>
        <v>898</v>
      </c>
    </row>
    <row r="622" spans="1:50">
      <c r="A622">
        <v>657</v>
      </c>
      <c r="B622" t="s">
        <v>995</v>
      </c>
      <c r="C622" t="s">
        <v>995</v>
      </c>
      <c r="D622">
        <v>0</v>
      </c>
      <c r="E622">
        <v>0</v>
      </c>
      <c r="F622">
        <v>0</v>
      </c>
      <c r="G622">
        <v>653</v>
      </c>
      <c r="H622">
        <v>0</v>
      </c>
      <c r="I622">
        <v>0</v>
      </c>
      <c r="J622">
        <v>0</v>
      </c>
      <c r="K622">
        <v>7</v>
      </c>
      <c r="L622">
        <v>0</v>
      </c>
      <c r="M622">
        <v>430</v>
      </c>
      <c r="N622">
        <v>430</v>
      </c>
      <c r="O622">
        <v>160</v>
      </c>
      <c r="P622">
        <v>160</v>
      </c>
      <c r="Q622">
        <v>98</v>
      </c>
      <c r="R622">
        <v>15</v>
      </c>
      <c r="S622">
        <v>80</v>
      </c>
      <c r="T622">
        <v>0</v>
      </c>
      <c r="U622">
        <v>0</v>
      </c>
      <c r="V622">
        <v>110</v>
      </c>
      <c r="W622">
        <v>3</v>
      </c>
      <c r="X622">
        <v>70</v>
      </c>
      <c r="Y622">
        <v>15</v>
      </c>
      <c r="Z622">
        <v>0</v>
      </c>
      <c r="AA622">
        <v>0</v>
      </c>
      <c r="AB622">
        <v>160</v>
      </c>
      <c r="AC622">
        <v>98</v>
      </c>
      <c r="AD622">
        <v>80</v>
      </c>
      <c r="AE622">
        <v>160</v>
      </c>
      <c r="AF622">
        <v>70</v>
      </c>
      <c r="AG622">
        <v>15</v>
      </c>
      <c r="AH622">
        <v>0</v>
      </c>
      <c r="AI622">
        <v>110</v>
      </c>
      <c r="AJ622">
        <v>562</v>
      </c>
      <c r="AK622">
        <v>562</v>
      </c>
      <c r="AL622">
        <v>561</v>
      </c>
      <c r="AM622">
        <v>561</v>
      </c>
      <c r="AN622">
        <v>24</v>
      </c>
      <c r="AO622">
        <v>24</v>
      </c>
      <c r="AP622">
        <v>12</v>
      </c>
      <c r="AQ622">
        <v>12</v>
      </c>
      <c r="AR622">
        <f t="shared" si="1565"/>
        <v>72</v>
      </c>
      <c r="AS622">
        <f>IF(AND(IFERROR(VLOOKUP(AJ622,Equip!$A:$N,13,FALSE),0)&gt;=5,IFERROR(VLOOKUP(AJ622,Equip!$A:$N,13,FALSE),0)&lt;=9),INT(VLOOKUP(AJ622,Equip!$A:$N,6,FALSE)*SQRT(AN622)),0)</f>
        <v>0</v>
      </c>
      <c r="AT622">
        <f>IF(AND(IFERROR(VLOOKUP(AK622,Equip!$A:$N,13,FALSE),0)&gt;=5,IFERROR(VLOOKUP(AK622,Equip!$A:$N,13,FALSE),0)&lt;=9),INT(VLOOKUP(AK622,Equip!$A:$N,6,FALSE)*SQRT(AO622)),0)</f>
        <v>0</v>
      </c>
      <c r="AU622">
        <f>IF(AND(IFERROR(VLOOKUP(AL622,Equip!$A:$N,13,FALSE),0)&gt;=5,IFERROR(VLOOKUP(AL622,Equip!$A:$N,13,FALSE),0)&lt;=9),INT(VLOOKUP(AL622,Equip!$A:$N,6,FALSE)*SQRT(AP622)),0)</f>
        <v>0</v>
      </c>
      <c r="AV622">
        <f>IF(AND(IFERROR(VLOOKUP(AM622,Equip!$A:$N,13,FALSE),0)&gt;=5,IFERROR(VLOOKUP(AM622,Equip!$A:$N,13,FALSE),0)&lt;=9),INT(VLOOKUP(AM622,Equip!$A:$N,6,FALSE)*SQRT(AQ622)),0)</f>
        <v>0</v>
      </c>
      <c r="AW622">
        <f t="shared" si="1563"/>
        <v>0</v>
      </c>
      <c r="AX622">
        <f t="shared" si="1564"/>
        <v>1053</v>
      </c>
    </row>
    <row r="623" spans="1:50">
      <c r="A623">
        <v>658</v>
      </c>
      <c r="B623" t="s">
        <v>995</v>
      </c>
      <c r="C623" t="s">
        <v>995</v>
      </c>
      <c r="D623">
        <v>0</v>
      </c>
      <c r="E623">
        <v>0</v>
      </c>
      <c r="F623">
        <v>0</v>
      </c>
      <c r="G623">
        <v>653</v>
      </c>
      <c r="H623">
        <v>0</v>
      </c>
      <c r="I623">
        <v>0</v>
      </c>
      <c r="J623">
        <v>0</v>
      </c>
      <c r="K623">
        <v>7</v>
      </c>
      <c r="L623">
        <v>0</v>
      </c>
      <c r="M623">
        <v>600</v>
      </c>
      <c r="N623">
        <v>600</v>
      </c>
      <c r="O623">
        <v>190</v>
      </c>
      <c r="P623">
        <v>190</v>
      </c>
      <c r="Q623">
        <v>118</v>
      </c>
      <c r="R623">
        <v>20</v>
      </c>
      <c r="S623">
        <v>90</v>
      </c>
      <c r="T623">
        <v>0</v>
      </c>
      <c r="U623">
        <v>0</v>
      </c>
      <c r="V623">
        <v>130</v>
      </c>
      <c r="W623">
        <v>3</v>
      </c>
      <c r="X623">
        <v>80</v>
      </c>
      <c r="Y623">
        <v>20</v>
      </c>
      <c r="Z623">
        <v>0</v>
      </c>
      <c r="AA623">
        <v>0</v>
      </c>
      <c r="AB623">
        <v>190</v>
      </c>
      <c r="AC623">
        <v>118</v>
      </c>
      <c r="AD623">
        <v>90</v>
      </c>
      <c r="AE623">
        <v>190</v>
      </c>
      <c r="AF623">
        <v>80</v>
      </c>
      <c r="AG623">
        <v>20</v>
      </c>
      <c r="AH623">
        <v>0</v>
      </c>
      <c r="AI623">
        <v>130</v>
      </c>
      <c r="AJ623">
        <v>562</v>
      </c>
      <c r="AK623">
        <v>562</v>
      </c>
      <c r="AL623">
        <v>562</v>
      </c>
      <c r="AM623">
        <v>561</v>
      </c>
      <c r="AN623">
        <v>36</v>
      </c>
      <c r="AO623">
        <v>24</v>
      </c>
      <c r="AP623">
        <v>24</v>
      </c>
      <c r="AQ623">
        <v>12</v>
      </c>
      <c r="AR623">
        <f t="shared" si="1565"/>
        <v>96</v>
      </c>
      <c r="AS623">
        <f>IF(AND(IFERROR(VLOOKUP(AJ623,Equip!$A:$N,13,FALSE),0)&gt;=5,IFERROR(VLOOKUP(AJ623,Equip!$A:$N,13,FALSE),0)&lt;=9),INT(VLOOKUP(AJ623,Equip!$A:$N,6,FALSE)*SQRT(AN623)),0)</f>
        <v>0</v>
      </c>
      <c r="AT623">
        <f>IF(AND(IFERROR(VLOOKUP(AK623,Equip!$A:$N,13,FALSE),0)&gt;=5,IFERROR(VLOOKUP(AK623,Equip!$A:$N,13,FALSE),0)&lt;=9),INT(VLOOKUP(AK623,Equip!$A:$N,6,FALSE)*SQRT(AO623)),0)</f>
        <v>0</v>
      </c>
      <c r="AU623">
        <f>IF(AND(IFERROR(VLOOKUP(AL623,Equip!$A:$N,13,FALSE),0)&gt;=5,IFERROR(VLOOKUP(AL623,Equip!$A:$N,13,FALSE),0)&lt;=9),INT(VLOOKUP(AL623,Equip!$A:$N,6,FALSE)*SQRT(AP623)),0)</f>
        <v>0</v>
      </c>
      <c r="AV623">
        <f>IF(AND(IFERROR(VLOOKUP(AM623,Equip!$A:$N,13,FALSE),0)&gt;=5,IFERROR(VLOOKUP(AM623,Equip!$A:$N,13,FALSE),0)&lt;=9),INT(VLOOKUP(AM623,Equip!$A:$N,6,FALSE)*SQRT(AQ623)),0)</f>
        <v>0</v>
      </c>
      <c r="AW623">
        <f t="shared" si="1563"/>
        <v>0</v>
      </c>
      <c r="AX623">
        <f t="shared" si="1564"/>
        <v>1338</v>
      </c>
    </row>
    <row r="624" spans="1:50">
      <c r="A624">
        <v>659</v>
      </c>
      <c r="B624" t="s">
        <v>996</v>
      </c>
      <c r="C624" t="s">
        <v>996</v>
      </c>
      <c r="D624">
        <v>0</v>
      </c>
      <c r="E624">
        <v>0</v>
      </c>
      <c r="F624">
        <v>0</v>
      </c>
      <c r="G624">
        <v>659</v>
      </c>
      <c r="H624">
        <v>0</v>
      </c>
      <c r="I624">
        <v>0</v>
      </c>
      <c r="J624">
        <v>0</v>
      </c>
      <c r="K624">
        <v>3</v>
      </c>
      <c r="L624">
        <v>4</v>
      </c>
      <c r="M624">
        <v>350</v>
      </c>
      <c r="N624">
        <v>350</v>
      </c>
      <c r="O624">
        <v>100</v>
      </c>
      <c r="P624">
        <v>145</v>
      </c>
      <c r="Q624">
        <v>66</v>
      </c>
      <c r="R624">
        <v>60</v>
      </c>
      <c r="S624">
        <v>72</v>
      </c>
      <c r="T624">
        <v>0</v>
      </c>
      <c r="U624">
        <v>10</v>
      </c>
      <c r="V624">
        <v>30</v>
      </c>
      <c r="W624">
        <v>3</v>
      </c>
      <c r="X624">
        <v>40</v>
      </c>
      <c r="Y624">
        <v>10</v>
      </c>
      <c r="Z624">
        <v>0</v>
      </c>
      <c r="AA624">
        <v>0</v>
      </c>
      <c r="AB624">
        <v>100</v>
      </c>
      <c r="AC624">
        <v>66</v>
      </c>
      <c r="AD624">
        <v>72</v>
      </c>
      <c r="AE624">
        <v>145</v>
      </c>
      <c r="AF624">
        <v>40</v>
      </c>
      <c r="AG624">
        <v>60</v>
      </c>
      <c r="AH624">
        <v>0</v>
      </c>
      <c r="AI624">
        <v>30</v>
      </c>
      <c r="AJ624">
        <v>563</v>
      </c>
      <c r="AK624">
        <v>563</v>
      </c>
      <c r="AL624">
        <v>515</v>
      </c>
      <c r="AM624">
        <v>564</v>
      </c>
      <c r="AN624">
        <v>0</v>
      </c>
      <c r="AO624">
        <v>0</v>
      </c>
      <c r="AP624">
        <v>0</v>
      </c>
      <c r="AQ624">
        <v>4</v>
      </c>
      <c r="AR624">
        <f t="shared" si="1565"/>
        <v>4</v>
      </c>
      <c r="AS624">
        <f>IF(AND(IFERROR(VLOOKUP(AJ624,Equip!$A:$N,13,FALSE),0)&gt;=5,IFERROR(VLOOKUP(AJ624,Equip!$A:$N,13,FALSE),0)&lt;=9),INT(VLOOKUP(AJ624,Equip!$A:$N,6,FALSE)*SQRT(AN624)),0)</f>
        <v>0</v>
      </c>
      <c r="AT624">
        <f>IF(AND(IFERROR(VLOOKUP(AK624,Equip!$A:$N,13,FALSE),0)&gt;=5,IFERROR(VLOOKUP(AK624,Equip!$A:$N,13,FALSE),0)&lt;=9),INT(VLOOKUP(AK624,Equip!$A:$N,6,FALSE)*SQRT(AO624)),0)</f>
        <v>0</v>
      </c>
      <c r="AU624">
        <f>IF(AND(IFERROR(VLOOKUP(AL624,Equip!$A:$N,13,FALSE),0)&gt;=5,IFERROR(VLOOKUP(AL624,Equip!$A:$N,13,FALSE),0)&lt;=9),INT(VLOOKUP(AL624,Equip!$A:$N,6,FALSE)*SQRT(AP624)),0)</f>
        <v>0</v>
      </c>
      <c r="AV624">
        <f>IF(AND(IFERROR(VLOOKUP(AM624,Equip!$A:$N,13,FALSE),0)&gt;=5,IFERROR(VLOOKUP(AM624,Equip!$A:$N,13,FALSE),0)&lt;=9),INT(VLOOKUP(AM624,Equip!$A:$N,6,FALSE)*SQRT(AQ624)),0)</f>
        <v>0</v>
      </c>
      <c r="AW624">
        <f t="shared" si="1563"/>
        <v>0</v>
      </c>
      <c r="AX624">
        <f t="shared" si="1564"/>
        <v>823</v>
      </c>
    </row>
    <row r="625" spans="1:50">
      <c r="A625">
        <v>660</v>
      </c>
      <c r="B625" t="s">
        <v>996</v>
      </c>
      <c r="C625" t="s">
        <v>996</v>
      </c>
      <c r="D625">
        <v>0</v>
      </c>
      <c r="E625">
        <v>0</v>
      </c>
      <c r="F625">
        <v>0</v>
      </c>
      <c r="G625">
        <v>659</v>
      </c>
      <c r="H625">
        <v>0</v>
      </c>
      <c r="I625">
        <v>0</v>
      </c>
      <c r="J625">
        <v>0</v>
      </c>
      <c r="K625">
        <v>3</v>
      </c>
      <c r="L625">
        <v>4</v>
      </c>
      <c r="M625">
        <v>350</v>
      </c>
      <c r="N625">
        <v>350</v>
      </c>
      <c r="O625">
        <v>130</v>
      </c>
      <c r="P625">
        <v>175</v>
      </c>
      <c r="Q625">
        <v>74</v>
      </c>
      <c r="R625">
        <v>65</v>
      </c>
      <c r="S625">
        <v>79</v>
      </c>
      <c r="T625">
        <v>0</v>
      </c>
      <c r="U625">
        <v>10</v>
      </c>
      <c r="V625">
        <v>35</v>
      </c>
      <c r="W625">
        <v>3</v>
      </c>
      <c r="X625">
        <v>50</v>
      </c>
      <c r="Y625">
        <v>15</v>
      </c>
      <c r="Z625">
        <v>0</v>
      </c>
      <c r="AA625">
        <v>0</v>
      </c>
      <c r="AB625">
        <v>130</v>
      </c>
      <c r="AC625">
        <v>74</v>
      </c>
      <c r="AD625">
        <v>79</v>
      </c>
      <c r="AE625">
        <v>175</v>
      </c>
      <c r="AF625">
        <v>50</v>
      </c>
      <c r="AG625">
        <v>65</v>
      </c>
      <c r="AH625">
        <v>0</v>
      </c>
      <c r="AI625">
        <v>35</v>
      </c>
      <c r="AJ625">
        <v>563</v>
      </c>
      <c r="AK625">
        <v>563</v>
      </c>
      <c r="AL625">
        <v>515</v>
      </c>
      <c r="AM625">
        <v>564</v>
      </c>
      <c r="AN625">
        <v>0</v>
      </c>
      <c r="AO625">
        <v>0</v>
      </c>
      <c r="AP625">
        <v>0</v>
      </c>
      <c r="AQ625">
        <v>4</v>
      </c>
      <c r="AR625">
        <f t="shared" si="1565"/>
        <v>4</v>
      </c>
      <c r="AS625">
        <f>IF(AND(IFERROR(VLOOKUP(AJ625,Equip!$A:$N,13,FALSE),0)&gt;=5,IFERROR(VLOOKUP(AJ625,Equip!$A:$N,13,FALSE),0)&lt;=9),INT(VLOOKUP(AJ625,Equip!$A:$N,6,FALSE)*SQRT(AN625)),0)</f>
        <v>0</v>
      </c>
      <c r="AT625">
        <f>IF(AND(IFERROR(VLOOKUP(AK625,Equip!$A:$N,13,FALSE),0)&gt;=5,IFERROR(VLOOKUP(AK625,Equip!$A:$N,13,FALSE),0)&lt;=9),INT(VLOOKUP(AK625,Equip!$A:$N,6,FALSE)*SQRT(AO625)),0)</f>
        <v>0</v>
      </c>
      <c r="AU625">
        <f>IF(AND(IFERROR(VLOOKUP(AL625,Equip!$A:$N,13,FALSE),0)&gt;=5,IFERROR(VLOOKUP(AL625,Equip!$A:$N,13,FALSE),0)&lt;=9),INT(VLOOKUP(AL625,Equip!$A:$N,6,FALSE)*SQRT(AP625)),0)</f>
        <v>0</v>
      </c>
      <c r="AV625">
        <f>IF(AND(IFERROR(VLOOKUP(AM625,Equip!$A:$N,13,FALSE),0)&gt;=5,IFERROR(VLOOKUP(AM625,Equip!$A:$N,13,FALSE),0)&lt;=9),INT(VLOOKUP(AM625,Equip!$A:$N,6,FALSE)*SQRT(AQ625)),0)</f>
        <v>0</v>
      </c>
      <c r="AW625">
        <f t="shared" si="1563"/>
        <v>0</v>
      </c>
      <c r="AX625">
        <f t="shared" si="1564"/>
        <v>908</v>
      </c>
    </row>
    <row r="626" spans="1:50">
      <c r="A626">
        <v>661</v>
      </c>
      <c r="B626" t="s">
        <v>996</v>
      </c>
      <c r="C626" t="s">
        <v>996</v>
      </c>
      <c r="D626">
        <v>0</v>
      </c>
      <c r="E626">
        <v>0</v>
      </c>
      <c r="F626">
        <v>0</v>
      </c>
      <c r="G626">
        <v>659</v>
      </c>
      <c r="H626">
        <v>0</v>
      </c>
      <c r="I626">
        <v>0</v>
      </c>
      <c r="J626">
        <v>0</v>
      </c>
      <c r="K626">
        <v>3</v>
      </c>
      <c r="L626">
        <v>4</v>
      </c>
      <c r="M626">
        <v>350</v>
      </c>
      <c r="N626">
        <v>350</v>
      </c>
      <c r="O626">
        <v>160</v>
      </c>
      <c r="P626">
        <v>195</v>
      </c>
      <c r="Q626">
        <v>82</v>
      </c>
      <c r="R626">
        <v>70</v>
      </c>
      <c r="S626">
        <v>86</v>
      </c>
      <c r="T626">
        <v>0</v>
      </c>
      <c r="U626">
        <v>10</v>
      </c>
      <c r="V626">
        <v>40</v>
      </c>
      <c r="W626">
        <v>3</v>
      </c>
      <c r="X626">
        <v>60</v>
      </c>
      <c r="Y626">
        <v>20</v>
      </c>
      <c r="Z626">
        <v>0</v>
      </c>
      <c r="AA626">
        <v>0</v>
      </c>
      <c r="AB626">
        <v>160</v>
      </c>
      <c r="AC626">
        <v>82</v>
      </c>
      <c r="AD626">
        <v>86</v>
      </c>
      <c r="AE626">
        <v>195</v>
      </c>
      <c r="AF626">
        <v>60</v>
      </c>
      <c r="AG626">
        <v>70</v>
      </c>
      <c r="AH626">
        <v>0</v>
      </c>
      <c r="AI626">
        <v>40</v>
      </c>
      <c r="AJ626">
        <v>563</v>
      </c>
      <c r="AK626">
        <v>563</v>
      </c>
      <c r="AL626">
        <v>515</v>
      </c>
      <c r="AM626">
        <v>564</v>
      </c>
      <c r="AN626">
        <v>0</v>
      </c>
      <c r="AO626">
        <v>0</v>
      </c>
      <c r="AP626">
        <v>0</v>
      </c>
      <c r="AQ626">
        <v>4</v>
      </c>
      <c r="AR626">
        <f t="shared" si="1565"/>
        <v>4</v>
      </c>
      <c r="AS626">
        <f>IF(AND(IFERROR(VLOOKUP(AJ626,Equip!$A:$N,13,FALSE),0)&gt;=5,IFERROR(VLOOKUP(AJ626,Equip!$A:$N,13,FALSE),0)&lt;=9),INT(VLOOKUP(AJ626,Equip!$A:$N,6,FALSE)*SQRT(AN626)),0)</f>
        <v>0</v>
      </c>
      <c r="AT626">
        <f>IF(AND(IFERROR(VLOOKUP(AK626,Equip!$A:$N,13,FALSE),0)&gt;=5,IFERROR(VLOOKUP(AK626,Equip!$A:$N,13,FALSE),0)&lt;=9),INT(VLOOKUP(AK626,Equip!$A:$N,6,FALSE)*SQRT(AO626)),0)</f>
        <v>0</v>
      </c>
      <c r="AU626">
        <f>IF(AND(IFERROR(VLOOKUP(AL626,Equip!$A:$N,13,FALSE),0)&gt;=5,IFERROR(VLOOKUP(AL626,Equip!$A:$N,13,FALSE),0)&lt;=9),INT(VLOOKUP(AL626,Equip!$A:$N,6,FALSE)*SQRT(AP626)),0)</f>
        <v>0</v>
      </c>
      <c r="AV626">
        <f>IF(AND(IFERROR(VLOOKUP(AM626,Equip!$A:$N,13,FALSE),0)&gt;=5,IFERROR(VLOOKUP(AM626,Equip!$A:$N,13,FALSE),0)&lt;=9),INT(VLOOKUP(AM626,Equip!$A:$N,6,FALSE)*SQRT(AQ626)),0)</f>
        <v>0</v>
      </c>
      <c r="AW626">
        <f t="shared" si="1563"/>
        <v>0</v>
      </c>
      <c r="AX626">
        <f t="shared" si="1564"/>
        <v>983</v>
      </c>
    </row>
    <row r="627" spans="1:50">
      <c r="A627">
        <v>662</v>
      </c>
      <c r="B627" t="s">
        <v>996</v>
      </c>
      <c r="C627" t="s">
        <v>996</v>
      </c>
      <c r="D627">
        <v>0</v>
      </c>
      <c r="E627">
        <v>0</v>
      </c>
      <c r="F627">
        <v>0</v>
      </c>
      <c r="G627">
        <v>659</v>
      </c>
      <c r="H627">
        <v>0</v>
      </c>
      <c r="I627">
        <v>0</v>
      </c>
      <c r="J627">
        <v>0</v>
      </c>
      <c r="K627">
        <v>3</v>
      </c>
      <c r="L627">
        <v>4</v>
      </c>
      <c r="M627">
        <v>370</v>
      </c>
      <c r="N627">
        <v>370</v>
      </c>
      <c r="O627">
        <v>130</v>
      </c>
      <c r="P627">
        <v>158</v>
      </c>
      <c r="Q627">
        <v>74</v>
      </c>
      <c r="R627">
        <v>70</v>
      </c>
      <c r="S627">
        <v>79</v>
      </c>
      <c r="T627">
        <v>0</v>
      </c>
      <c r="U627">
        <v>10</v>
      </c>
      <c r="V627">
        <v>40</v>
      </c>
      <c r="W627">
        <v>3</v>
      </c>
      <c r="X627">
        <v>50</v>
      </c>
      <c r="Y627">
        <v>10</v>
      </c>
      <c r="Z627">
        <v>0</v>
      </c>
      <c r="AA627">
        <v>0</v>
      </c>
      <c r="AB627">
        <v>130</v>
      </c>
      <c r="AC627">
        <v>74</v>
      </c>
      <c r="AD627">
        <v>79</v>
      </c>
      <c r="AE627">
        <v>158</v>
      </c>
      <c r="AF627">
        <v>50</v>
      </c>
      <c r="AG627">
        <v>70</v>
      </c>
      <c r="AH627">
        <v>0</v>
      </c>
      <c r="AI627">
        <v>40</v>
      </c>
      <c r="AJ627">
        <v>563</v>
      </c>
      <c r="AK627">
        <v>563</v>
      </c>
      <c r="AL627">
        <v>541</v>
      </c>
      <c r="AM627">
        <v>564</v>
      </c>
      <c r="AN627">
        <v>0</v>
      </c>
      <c r="AO627">
        <v>0</v>
      </c>
      <c r="AP627">
        <v>0</v>
      </c>
      <c r="AQ627">
        <v>4</v>
      </c>
      <c r="AR627">
        <f t="shared" si="1565"/>
        <v>4</v>
      </c>
      <c r="AS627">
        <f>IF(AND(IFERROR(VLOOKUP(AJ627,Equip!$A:$N,13,FALSE),0)&gt;=5,IFERROR(VLOOKUP(AJ627,Equip!$A:$N,13,FALSE),0)&lt;=9),INT(VLOOKUP(AJ627,Equip!$A:$N,6,FALSE)*SQRT(AN627)),0)</f>
        <v>0</v>
      </c>
      <c r="AT627">
        <f>IF(AND(IFERROR(VLOOKUP(AK627,Equip!$A:$N,13,FALSE),0)&gt;=5,IFERROR(VLOOKUP(AK627,Equip!$A:$N,13,FALSE),0)&lt;=9),INT(VLOOKUP(AK627,Equip!$A:$N,6,FALSE)*SQRT(AO627)),0)</f>
        <v>0</v>
      </c>
      <c r="AU627">
        <f>IF(AND(IFERROR(VLOOKUP(AL627,Equip!$A:$N,13,FALSE),0)&gt;=5,IFERROR(VLOOKUP(AL627,Equip!$A:$N,13,FALSE),0)&lt;=9),INT(VLOOKUP(AL627,Equip!$A:$N,6,FALSE)*SQRT(AP627)),0)</f>
        <v>0</v>
      </c>
      <c r="AV627">
        <f>IF(AND(IFERROR(VLOOKUP(AM627,Equip!$A:$N,13,FALSE),0)&gt;=5,IFERROR(VLOOKUP(AM627,Equip!$A:$N,13,FALSE),0)&lt;=9),INT(VLOOKUP(AM627,Equip!$A:$N,6,FALSE)*SQRT(AQ627)),0)</f>
        <v>0</v>
      </c>
      <c r="AW627">
        <f t="shared" si="1563"/>
        <v>0</v>
      </c>
      <c r="AX627">
        <f t="shared" si="1564"/>
        <v>921</v>
      </c>
    </row>
    <row r="628" spans="1:50">
      <c r="A628">
        <v>663</v>
      </c>
      <c r="B628" t="s">
        <v>996</v>
      </c>
      <c r="C628" t="s">
        <v>996</v>
      </c>
      <c r="D628">
        <v>0</v>
      </c>
      <c r="E628">
        <v>0</v>
      </c>
      <c r="F628">
        <v>0</v>
      </c>
      <c r="G628">
        <v>659</v>
      </c>
      <c r="H628">
        <v>0</v>
      </c>
      <c r="I628">
        <v>0</v>
      </c>
      <c r="J628">
        <v>0</v>
      </c>
      <c r="K628">
        <v>3</v>
      </c>
      <c r="L628">
        <v>4</v>
      </c>
      <c r="M628">
        <v>380</v>
      </c>
      <c r="N628">
        <v>380</v>
      </c>
      <c r="O628">
        <v>160</v>
      </c>
      <c r="P628">
        <v>188</v>
      </c>
      <c r="Q628">
        <v>82</v>
      </c>
      <c r="R628">
        <v>75</v>
      </c>
      <c r="S628">
        <v>86</v>
      </c>
      <c r="T628">
        <v>0</v>
      </c>
      <c r="U628">
        <v>10</v>
      </c>
      <c r="V628">
        <v>45</v>
      </c>
      <c r="W628">
        <v>3</v>
      </c>
      <c r="X628">
        <v>60</v>
      </c>
      <c r="Y628">
        <v>15</v>
      </c>
      <c r="Z628">
        <v>0</v>
      </c>
      <c r="AA628">
        <v>0</v>
      </c>
      <c r="AB628">
        <v>160</v>
      </c>
      <c r="AC628">
        <v>82</v>
      </c>
      <c r="AD628">
        <v>86</v>
      </c>
      <c r="AE628">
        <v>188</v>
      </c>
      <c r="AF628">
        <v>60</v>
      </c>
      <c r="AG628">
        <v>75</v>
      </c>
      <c r="AH628">
        <v>0</v>
      </c>
      <c r="AI628">
        <v>45</v>
      </c>
      <c r="AJ628">
        <v>563</v>
      </c>
      <c r="AK628">
        <v>563</v>
      </c>
      <c r="AL628">
        <v>541</v>
      </c>
      <c r="AM628">
        <v>564</v>
      </c>
      <c r="AN628">
        <v>0</v>
      </c>
      <c r="AO628">
        <v>0</v>
      </c>
      <c r="AP628">
        <v>0</v>
      </c>
      <c r="AQ628">
        <v>4</v>
      </c>
      <c r="AR628">
        <f t="shared" si="1565"/>
        <v>4</v>
      </c>
      <c r="AS628">
        <f>IF(AND(IFERROR(VLOOKUP(AJ628,Equip!$A:$N,13,FALSE),0)&gt;=5,IFERROR(VLOOKUP(AJ628,Equip!$A:$N,13,FALSE),0)&lt;=9),INT(VLOOKUP(AJ628,Equip!$A:$N,6,FALSE)*SQRT(AN628)),0)</f>
        <v>0</v>
      </c>
      <c r="AT628">
        <f>IF(AND(IFERROR(VLOOKUP(AK628,Equip!$A:$N,13,FALSE),0)&gt;=5,IFERROR(VLOOKUP(AK628,Equip!$A:$N,13,FALSE),0)&lt;=9),INT(VLOOKUP(AK628,Equip!$A:$N,6,FALSE)*SQRT(AO628)),0)</f>
        <v>0</v>
      </c>
      <c r="AU628">
        <f>IF(AND(IFERROR(VLOOKUP(AL628,Equip!$A:$N,13,FALSE),0)&gt;=5,IFERROR(VLOOKUP(AL628,Equip!$A:$N,13,FALSE),0)&lt;=9),INT(VLOOKUP(AL628,Equip!$A:$N,6,FALSE)*SQRT(AP628)),0)</f>
        <v>0</v>
      </c>
      <c r="AV628">
        <f>IF(AND(IFERROR(VLOOKUP(AM628,Equip!$A:$N,13,FALSE),0)&gt;=5,IFERROR(VLOOKUP(AM628,Equip!$A:$N,13,FALSE),0)&lt;=9),INT(VLOOKUP(AM628,Equip!$A:$N,6,FALSE)*SQRT(AQ628)),0)</f>
        <v>0</v>
      </c>
      <c r="AW628">
        <f t="shared" si="1563"/>
        <v>0</v>
      </c>
      <c r="AX628">
        <f t="shared" si="1564"/>
        <v>1016</v>
      </c>
    </row>
    <row r="629" spans="1:50">
      <c r="A629">
        <v>664</v>
      </c>
      <c r="B629" t="s">
        <v>996</v>
      </c>
      <c r="C629" t="s">
        <v>996</v>
      </c>
      <c r="D629">
        <v>0</v>
      </c>
      <c r="E629">
        <v>0</v>
      </c>
      <c r="F629">
        <v>0</v>
      </c>
      <c r="G629">
        <v>659</v>
      </c>
      <c r="H629">
        <v>0</v>
      </c>
      <c r="I629">
        <v>0</v>
      </c>
      <c r="J629">
        <v>0</v>
      </c>
      <c r="K629">
        <v>3</v>
      </c>
      <c r="L629">
        <v>4</v>
      </c>
      <c r="M629">
        <v>390</v>
      </c>
      <c r="N629">
        <v>390</v>
      </c>
      <c r="O629">
        <v>190</v>
      </c>
      <c r="P629">
        <v>208</v>
      </c>
      <c r="Q629">
        <v>90</v>
      </c>
      <c r="R629">
        <v>80</v>
      </c>
      <c r="S629">
        <v>93</v>
      </c>
      <c r="T629">
        <v>0</v>
      </c>
      <c r="U629">
        <v>10</v>
      </c>
      <c r="V629">
        <v>50</v>
      </c>
      <c r="W629">
        <v>3</v>
      </c>
      <c r="X629">
        <v>70</v>
      </c>
      <c r="Y629">
        <v>20</v>
      </c>
      <c r="Z629">
        <v>0</v>
      </c>
      <c r="AA629">
        <v>0</v>
      </c>
      <c r="AB629">
        <v>190</v>
      </c>
      <c r="AC629">
        <v>90</v>
      </c>
      <c r="AD629">
        <v>93</v>
      </c>
      <c r="AE629">
        <v>208</v>
      </c>
      <c r="AF629">
        <v>70</v>
      </c>
      <c r="AG629">
        <v>80</v>
      </c>
      <c r="AH629">
        <v>0</v>
      </c>
      <c r="AI629">
        <v>50</v>
      </c>
      <c r="AJ629">
        <v>563</v>
      </c>
      <c r="AK629">
        <v>563</v>
      </c>
      <c r="AL629">
        <v>541</v>
      </c>
      <c r="AM629">
        <v>564</v>
      </c>
      <c r="AN629">
        <v>0</v>
      </c>
      <c r="AO629">
        <v>0</v>
      </c>
      <c r="AP629">
        <v>0</v>
      </c>
      <c r="AQ629">
        <v>4</v>
      </c>
      <c r="AR629">
        <f t="shared" si="1565"/>
        <v>4</v>
      </c>
      <c r="AS629">
        <f>IF(AND(IFERROR(VLOOKUP(AJ629,Equip!$A:$N,13,FALSE),0)&gt;=5,IFERROR(VLOOKUP(AJ629,Equip!$A:$N,13,FALSE),0)&lt;=9),INT(VLOOKUP(AJ629,Equip!$A:$N,6,FALSE)*SQRT(AN629)),0)</f>
        <v>0</v>
      </c>
      <c r="AT629">
        <f>IF(AND(IFERROR(VLOOKUP(AK629,Equip!$A:$N,13,FALSE),0)&gt;=5,IFERROR(VLOOKUP(AK629,Equip!$A:$N,13,FALSE),0)&lt;=9),INT(VLOOKUP(AK629,Equip!$A:$N,6,FALSE)*SQRT(AO629)),0)</f>
        <v>0</v>
      </c>
      <c r="AU629">
        <f>IF(AND(IFERROR(VLOOKUP(AL629,Equip!$A:$N,13,FALSE),0)&gt;=5,IFERROR(VLOOKUP(AL629,Equip!$A:$N,13,FALSE),0)&lt;=9),INT(VLOOKUP(AL629,Equip!$A:$N,6,FALSE)*SQRT(AP629)),0)</f>
        <v>0</v>
      </c>
      <c r="AV629">
        <f>IF(AND(IFERROR(VLOOKUP(AM629,Equip!$A:$N,13,FALSE),0)&gt;=5,IFERROR(VLOOKUP(AM629,Equip!$A:$N,13,FALSE),0)&lt;=9),INT(VLOOKUP(AM629,Equip!$A:$N,6,FALSE)*SQRT(AQ629)),0)</f>
        <v>0</v>
      </c>
      <c r="AW629">
        <f t="shared" si="1563"/>
        <v>0</v>
      </c>
      <c r="AX629">
        <f t="shared" si="1564"/>
        <v>1101</v>
      </c>
    </row>
    <row r="630" spans="1:50">
      <c r="A630">
        <v>665</v>
      </c>
      <c r="B630" t="s">
        <v>997</v>
      </c>
      <c r="C630" t="s">
        <v>997</v>
      </c>
      <c r="D630">
        <v>0</v>
      </c>
      <c r="E630">
        <v>0</v>
      </c>
      <c r="F630">
        <v>0</v>
      </c>
      <c r="G630">
        <v>665</v>
      </c>
      <c r="H630">
        <v>0</v>
      </c>
      <c r="I630">
        <v>0</v>
      </c>
      <c r="J630">
        <v>0</v>
      </c>
      <c r="K630">
        <v>52</v>
      </c>
      <c r="L630">
        <v>0</v>
      </c>
      <c r="M630">
        <v>130</v>
      </c>
      <c r="N630">
        <v>130</v>
      </c>
      <c r="O630">
        <v>100</v>
      </c>
      <c r="P630">
        <v>110</v>
      </c>
      <c r="Q630">
        <v>0</v>
      </c>
      <c r="R630">
        <v>5</v>
      </c>
      <c r="S630">
        <v>65</v>
      </c>
      <c r="T630">
        <v>0</v>
      </c>
      <c r="U630">
        <v>0</v>
      </c>
      <c r="V630">
        <v>10</v>
      </c>
      <c r="W630">
        <v>2</v>
      </c>
      <c r="X630">
        <v>1</v>
      </c>
      <c r="Y630">
        <v>5</v>
      </c>
      <c r="Z630">
        <v>0</v>
      </c>
      <c r="AA630">
        <v>0</v>
      </c>
      <c r="AB630">
        <v>100</v>
      </c>
      <c r="AC630">
        <v>0</v>
      </c>
      <c r="AD630">
        <v>65</v>
      </c>
      <c r="AE630">
        <v>110</v>
      </c>
      <c r="AF630">
        <v>1</v>
      </c>
      <c r="AG630">
        <v>5</v>
      </c>
      <c r="AH630">
        <v>0</v>
      </c>
      <c r="AI630">
        <v>10</v>
      </c>
      <c r="AJ630">
        <v>565</v>
      </c>
      <c r="AK630">
        <v>565</v>
      </c>
      <c r="AL630">
        <v>540</v>
      </c>
      <c r="AM630">
        <v>567</v>
      </c>
      <c r="AN630">
        <v>0</v>
      </c>
      <c r="AO630">
        <v>0</v>
      </c>
      <c r="AP630">
        <v>0</v>
      </c>
      <c r="AQ630">
        <v>0</v>
      </c>
      <c r="AR630">
        <f t="shared" si="1565"/>
        <v>0</v>
      </c>
      <c r="AS630">
        <f>IF(AND(IFERROR(VLOOKUP(AJ630,Equip!$A:$N,13,FALSE),0)&gt;=5,IFERROR(VLOOKUP(AJ630,Equip!$A:$N,13,FALSE),0)&lt;=9),INT(VLOOKUP(AJ630,Equip!$A:$N,6,FALSE)*SQRT(AN630)),0)</f>
        <v>0</v>
      </c>
      <c r="AT630">
        <f>IF(AND(IFERROR(VLOOKUP(AK630,Equip!$A:$N,13,FALSE),0)&gt;=5,IFERROR(VLOOKUP(AK630,Equip!$A:$N,13,FALSE),0)&lt;=9),INT(VLOOKUP(AK630,Equip!$A:$N,6,FALSE)*SQRT(AO630)),0)</f>
        <v>0</v>
      </c>
      <c r="AU630">
        <f>IF(AND(IFERROR(VLOOKUP(AL630,Equip!$A:$N,13,FALSE),0)&gt;=5,IFERROR(VLOOKUP(AL630,Equip!$A:$N,13,FALSE),0)&lt;=9),INT(VLOOKUP(AL630,Equip!$A:$N,6,FALSE)*SQRT(AP630)),0)</f>
        <v>0</v>
      </c>
      <c r="AV630">
        <f>IF(AND(IFERROR(VLOOKUP(AM630,Equip!$A:$N,13,FALSE),0)&gt;=5,IFERROR(VLOOKUP(AM630,Equip!$A:$N,13,FALSE),0)&lt;=9),INT(VLOOKUP(AM630,Equip!$A:$N,6,FALSE)*SQRT(AQ630)),0)</f>
        <v>0</v>
      </c>
      <c r="AW630">
        <f t="shared" si="1563"/>
        <v>0</v>
      </c>
      <c r="AX630">
        <f t="shared" si="1564"/>
        <v>420</v>
      </c>
    </row>
    <row r="631" spans="1:50">
      <c r="A631">
        <v>666</v>
      </c>
      <c r="B631" t="s">
        <v>997</v>
      </c>
      <c r="C631" t="s">
        <v>997</v>
      </c>
      <c r="D631">
        <v>0</v>
      </c>
      <c r="E631">
        <v>0</v>
      </c>
      <c r="F631">
        <v>0</v>
      </c>
      <c r="G631">
        <v>665</v>
      </c>
      <c r="H631">
        <v>0</v>
      </c>
      <c r="I631">
        <v>0</v>
      </c>
      <c r="J631">
        <v>0</v>
      </c>
      <c r="K631">
        <v>52</v>
      </c>
      <c r="L631">
        <v>0</v>
      </c>
      <c r="M631">
        <v>130</v>
      </c>
      <c r="N631">
        <v>130</v>
      </c>
      <c r="O631">
        <v>100</v>
      </c>
      <c r="P631">
        <v>105</v>
      </c>
      <c r="Q631">
        <v>0</v>
      </c>
      <c r="R631">
        <v>5</v>
      </c>
      <c r="S631">
        <v>75</v>
      </c>
      <c r="T631">
        <v>0</v>
      </c>
      <c r="U631">
        <v>0</v>
      </c>
      <c r="V631">
        <v>10</v>
      </c>
      <c r="W631">
        <v>2</v>
      </c>
      <c r="X631">
        <v>1</v>
      </c>
      <c r="Y631">
        <v>5</v>
      </c>
      <c r="Z631">
        <v>0</v>
      </c>
      <c r="AA631">
        <v>0</v>
      </c>
      <c r="AB631">
        <v>100</v>
      </c>
      <c r="AC631">
        <v>0</v>
      </c>
      <c r="AD631">
        <v>75</v>
      </c>
      <c r="AE631">
        <v>105</v>
      </c>
      <c r="AF631">
        <v>1</v>
      </c>
      <c r="AG631">
        <v>5</v>
      </c>
      <c r="AH631">
        <v>0</v>
      </c>
      <c r="AI631">
        <v>10</v>
      </c>
      <c r="AJ631">
        <v>565</v>
      </c>
      <c r="AK631">
        <v>540</v>
      </c>
      <c r="AL631">
        <v>539</v>
      </c>
      <c r="AM631">
        <v>567</v>
      </c>
      <c r="AN631">
        <v>0</v>
      </c>
      <c r="AO631">
        <v>0</v>
      </c>
      <c r="AP631">
        <v>0</v>
      </c>
      <c r="AQ631">
        <v>0</v>
      </c>
      <c r="AR631">
        <f t="shared" si="1565"/>
        <v>0</v>
      </c>
      <c r="AS631">
        <f>IF(AND(IFERROR(VLOOKUP(AJ631,Equip!$A:$N,13,FALSE),0)&gt;=5,IFERROR(VLOOKUP(AJ631,Equip!$A:$N,13,FALSE),0)&lt;=9),INT(VLOOKUP(AJ631,Equip!$A:$N,6,FALSE)*SQRT(AN631)),0)</f>
        <v>0</v>
      </c>
      <c r="AT631">
        <f>IF(AND(IFERROR(VLOOKUP(AK631,Equip!$A:$N,13,FALSE),0)&gt;=5,IFERROR(VLOOKUP(AK631,Equip!$A:$N,13,FALSE),0)&lt;=9),INT(VLOOKUP(AK631,Equip!$A:$N,6,FALSE)*SQRT(AO631)),0)</f>
        <v>0</v>
      </c>
      <c r="AU631">
        <f>IF(AND(IFERROR(VLOOKUP(AL631,Equip!$A:$N,13,FALSE),0)&gt;=5,IFERROR(VLOOKUP(AL631,Equip!$A:$N,13,FALSE),0)&lt;=9),INT(VLOOKUP(AL631,Equip!$A:$N,6,FALSE)*SQRT(AP631)),0)</f>
        <v>0</v>
      </c>
      <c r="AV631">
        <f>IF(AND(IFERROR(VLOOKUP(AM631,Equip!$A:$N,13,FALSE),0)&gt;=5,IFERROR(VLOOKUP(AM631,Equip!$A:$N,13,FALSE),0)&lt;=9),INT(VLOOKUP(AM631,Equip!$A:$N,6,FALSE)*SQRT(AQ631)),0)</f>
        <v>0</v>
      </c>
      <c r="AW631">
        <f t="shared" si="1563"/>
        <v>0</v>
      </c>
      <c r="AX631">
        <f t="shared" si="1564"/>
        <v>425</v>
      </c>
    </row>
    <row r="632" spans="1:50">
      <c r="A632">
        <v>667</v>
      </c>
      <c r="B632" t="s">
        <v>997</v>
      </c>
      <c r="C632" t="s">
        <v>997</v>
      </c>
      <c r="D632">
        <v>0</v>
      </c>
      <c r="E632">
        <v>0</v>
      </c>
      <c r="F632">
        <v>0</v>
      </c>
      <c r="G632">
        <v>665</v>
      </c>
      <c r="H632">
        <v>0</v>
      </c>
      <c r="I632">
        <v>0</v>
      </c>
      <c r="J632">
        <v>0</v>
      </c>
      <c r="K632">
        <v>52</v>
      </c>
      <c r="L632">
        <v>0</v>
      </c>
      <c r="M632">
        <v>130</v>
      </c>
      <c r="N632">
        <v>130</v>
      </c>
      <c r="O632">
        <v>100</v>
      </c>
      <c r="P632">
        <v>100</v>
      </c>
      <c r="Q632">
        <v>0</v>
      </c>
      <c r="R632">
        <v>5</v>
      </c>
      <c r="S632">
        <v>85</v>
      </c>
      <c r="T632">
        <v>0</v>
      </c>
      <c r="U632">
        <v>0</v>
      </c>
      <c r="V632">
        <v>10</v>
      </c>
      <c r="W632">
        <v>2</v>
      </c>
      <c r="X632">
        <v>1</v>
      </c>
      <c r="Y632">
        <v>5</v>
      </c>
      <c r="Z632">
        <v>0</v>
      </c>
      <c r="AA632">
        <v>0</v>
      </c>
      <c r="AB632">
        <v>100</v>
      </c>
      <c r="AC632">
        <v>0</v>
      </c>
      <c r="AD632">
        <v>85</v>
      </c>
      <c r="AE632">
        <v>100</v>
      </c>
      <c r="AF632">
        <v>1</v>
      </c>
      <c r="AG632">
        <v>5</v>
      </c>
      <c r="AH632">
        <v>0</v>
      </c>
      <c r="AI632">
        <v>10</v>
      </c>
      <c r="AJ632">
        <v>565</v>
      </c>
      <c r="AK632">
        <v>553</v>
      </c>
      <c r="AL632">
        <v>539</v>
      </c>
      <c r="AM632">
        <v>567</v>
      </c>
      <c r="AN632">
        <v>0</v>
      </c>
      <c r="AO632">
        <v>0</v>
      </c>
      <c r="AP632">
        <v>0</v>
      </c>
      <c r="AQ632">
        <v>0</v>
      </c>
      <c r="AR632">
        <f t="shared" si="1565"/>
        <v>0</v>
      </c>
      <c r="AS632">
        <f>IF(AND(IFERROR(VLOOKUP(AJ632,Equip!$A:$N,13,FALSE),0)&gt;=5,IFERROR(VLOOKUP(AJ632,Equip!$A:$N,13,FALSE),0)&lt;=9),INT(VLOOKUP(AJ632,Equip!$A:$N,6,FALSE)*SQRT(AN632)),0)</f>
        <v>0</v>
      </c>
      <c r="AT632">
        <f>IF(AND(IFERROR(VLOOKUP(AK632,Equip!$A:$N,13,FALSE),0)&gt;=5,IFERROR(VLOOKUP(AK632,Equip!$A:$N,13,FALSE),0)&lt;=9),INT(VLOOKUP(AK632,Equip!$A:$N,6,FALSE)*SQRT(AO632)),0)</f>
        <v>0</v>
      </c>
      <c r="AU632">
        <f>IF(AND(IFERROR(VLOOKUP(AL632,Equip!$A:$N,13,FALSE),0)&gt;=5,IFERROR(VLOOKUP(AL632,Equip!$A:$N,13,FALSE),0)&lt;=9),INT(VLOOKUP(AL632,Equip!$A:$N,6,FALSE)*SQRT(AP632)),0)</f>
        <v>0</v>
      </c>
      <c r="AV632">
        <f>IF(AND(IFERROR(VLOOKUP(AM632,Equip!$A:$N,13,FALSE),0)&gt;=5,IFERROR(VLOOKUP(AM632,Equip!$A:$N,13,FALSE),0)&lt;=9),INT(VLOOKUP(AM632,Equip!$A:$N,6,FALSE)*SQRT(AQ632)),0)</f>
        <v>0</v>
      </c>
      <c r="AW632">
        <f t="shared" si="1563"/>
        <v>0</v>
      </c>
      <c r="AX632">
        <f t="shared" si="1564"/>
        <v>430</v>
      </c>
    </row>
    <row r="633" spans="1:50">
      <c r="A633">
        <v>668</v>
      </c>
      <c r="B633" t="s">
        <v>998</v>
      </c>
      <c r="C633" t="s">
        <v>998</v>
      </c>
      <c r="D633">
        <v>0</v>
      </c>
      <c r="E633">
        <v>0</v>
      </c>
      <c r="F633">
        <v>0</v>
      </c>
      <c r="G633">
        <v>668</v>
      </c>
      <c r="H633">
        <v>0</v>
      </c>
      <c r="I633">
        <v>0</v>
      </c>
      <c r="J633">
        <v>0</v>
      </c>
      <c r="K633">
        <v>12</v>
      </c>
      <c r="L633">
        <v>0</v>
      </c>
      <c r="M633">
        <v>480</v>
      </c>
      <c r="N633">
        <v>480</v>
      </c>
      <c r="O633">
        <v>150</v>
      </c>
      <c r="P633">
        <v>190</v>
      </c>
      <c r="Q633">
        <v>0</v>
      </c>
      <c r="R633">
        <v>10</v>
      </c>
      <c r="S633">
        <v>120</v>
      </c>
      <c r="T633">
        <v>0</v>
      </c>
      <c r="U633">
        <v>0</v>
      </c>
      <c r="V633">
        <v>80</v>
      </c>
      <c r="W633">
        <v>1</v>
      </c>
      <c r="X633">
        <v>50</v>
      </c>
      <c r="Y633">
        <v>5</v>
      </c>
      <c r="Z633">
        <v>0</v>
      </c>
      <c r="AA633">
        <v>0</v>
      </c>
      <c r="AB633">
        <v>150</v>
      </c>
      <c r="AC633">
        <v>0</v>
      </c>
      <c r="AD633">
        <v>120</v>
      </c>
      <c r="AE633">
        <v>190</v>
      </c>
      <c r="AF633">
        <v>50</v>
      </c>
      <c r="AG633">
        <v>10</v>
      </c>
      <c r="AH633">
        <v>0</v>
      </c>
      <c r="AI633">
        <v>80</v>
      </c>
      <c r="AJ633">
        <v>562</v>
      </c>
      <c r="AK633">
        <v>561</v>
      </c>
      <c r="AL633">
        <v>561</v>
      </c>
      <c r="AM633">
        <v>547</v>
      </c>
      <c r="AN633">
        <v>16</v>
      </c>
      <c r="AO633">
        <v>12</v>
      </c>
      <c r="AP633">
        <v>12</v>
      </c>
      <c r="AQ633">
        <v>8</v>
      </c>
      <c r="AR633">
        <f t="shared" si="1565"/>
        <v>48</v>
      </c>
      <c r="AS633">
        <f>IF(AND(IFERROR(VLOOKUP(AJ633,Equip!$A:$N,13,FALSE),0)&gt;=5,IFERROR(VLOOKUP(AJ633,Equip!$A:$N,13,FALSE),0)&lt;=9),INT(VLOOKUP(AJ633,Equip!$A:$N,6,FALSE)*SQRT(AN633)),0)</f>
        <v>0</v>
      </c>
      <c r="AT633">
        <f>IF(AND(IFERROR(VLOOKUP(AK633,Equip!$A:$N,13,FALSE),0)&gt;=5,IFERROR(VLOOKUP(AK633,Equip!$A:$N,13,FALSE),0)&lt;=9),INT(VLOOKUP(AK633,Equip!$A:$N,6,FALSE)*SQRT(AO633)),0)</f>
        <v>0</v>
      </c>
      <c r="AU633">
        <f>IF(AND(IFERROR(VLOOKUP(AL633,Equip!$A:$N,13,FALSE),0)&gt;=5,IFERROR(VLOOKUP(AL633,Equip!$A:$N,13,FALSE),0)&lt;=9),INT(VLOOKUP(AL633,Equip!$A:$N,6,FALSE)*SQRT(AP633)),0)</f>
        <v>0</v>
      </c>
      <c r="AV633">
        <f>IF(AND(IFERROR(VLOOKUP(AM633,Equip!$A:$N,13,FALSE),0)&gt;=5,IFERROR(VLOOKUP(AM633,Equip!$A:$N,13,FALSE),0)&lt;=9),INT(VLOOKUP(AM633,Equip!$A:$N,6,FALSE)*SQRT(AQ633)),0)</f>
        <v>0</v>
      </c>
      <c r="AW633">
        <f t="shared" si="1563"/>
        <v>0</v>
      </c>
      <c r="AX633">
        <f t="shared" si="1564"/>
        <v>1030</v>
      </c>
    </row>
    <row r="634" spans="1:50">
      <c r="A634">
        <v>669</v>
      </c>
      <c r="B634" t="s">
        <v>998</v>
      </c>
      <c r="C634" t="s">
        <v>998</v>
      </c>
      <c r="D634">
        <v>0</v>
      </c>
      <c r="E634">
        <v>0</v>
      </c>
      <c r="F634">
        <v>0</v>
      </c>
      <c r="G634">
        <v>668</v>
      </c>
      <c r="H634">
        <v>0</v>
      </c>
      <c r="I634">
        <v>0</v>
      </c>
      <c r="J634">
        <v>0</v>
      </c>
      <c r="K634">
        <v>12</v>
      </c>
      <c r="L634">
        <v>0</v>
      </c>
      <c r="M634">
        <v>480</v>
      </c>
      <c r="N634">
        <v>480</v>
      </c>
      <c r="O634">
        <v>150</v>
      </c>
      <c r="P634">
        <v>190</v>
      </c>
      <c r="Q634">
        <v>0</v>
      </c>
      <c r="R634">
        <v>10</v>
      </c>
      <c r="S634">
        <v>120</v>
      </c>
      <c r="T634">
        <v>0</v>
      </c>
      <c r="U634">
        <v>0</v>
      </c>
      <c r="V634">
        <v>80</v>
      </c>
      <c r="W634">
        <v>1</v>
      </c>
      <c r="X634">
        <v>50</v>
      </c>
      <c r="Y634">
        <v>10</v>
      </c>
      <c r="Z634">
        <v>0</v>
      </c>
      <c r="AA634">
        <v>0</v>
      </c>
      <c r="AB634">
        <v>150</v>
      </c>
      <c r="AC634">
        <v>0</v>
      </c>
      <c r="AD634">
        <v>120</v>
      </c>
      <c r="AE634">
        <v>190</v>
      </c>
      <c r="AF634">
        <v>50</v>
      </c>
      <c r="AG634">
        <v>10</v>
      </c>
      <c r="AH634">
        <v>0</v>
      </c>
      <c r="AI634">
        <v>80</v>
      </c>
      <c r="AJ634">
        <v>562</v>
      </c>
      <c r="AK634">
        <v>561</v>
      </c>
      <c r="AL634">
        <v>547</v>
      </c>
      <c r="AM634">
        <v>547</v>
      </c>
      <c r="AN634">
        <v>20</v>
      </c>
      <c r="AO634">
        <v>18</v>
      </c>
      <c r="AP634">
        <v>18</v>
      </c>
      <c r="AQ634">
        <v>8</v>
      </c>
      <c r="AR634">
        <f t="shared" si="1565"/>
        <v>64</v>
      </c>
      <c r="AS634">
        <f>IF(AND(IFERROR(VLOOKUP(AJ634,Equip!$A:$N,13,FALSE),0)&gt;=5,IFERROR(VLOOKUP(AJ634,Equip!$A:$N,13,FALSE),0)&lt;=9),INT(VLOOKUP(AJ634,Equip!$A:$N,6,FALSE)*SQRT(AN634)),0)</f>
        <v>0</v>
      </c>
      <c r="AT634">
        <f>IF(AND(IFERROR(VLOOKUP(AK634,Equip!$A:$N,13,FALSE),0)&gt;=5,IFERROR(VLOOKUP(AK634,Equip!$A:$N,13,FALSE),0)&lt;=9),INT(VLOOKUP(AK634,Equip!$A:$N,6,FALSE)*SQRT(AO634)),0)</f>
        <v>0</v>
      </c>
      <c r="AU634">
        <f>IF(AND(IFERROR(VLOOKUP(AL634,Equip!$A:$N,13,FALSE),0)&gt;=5,IFERROR(VLOOKUP(AL634,Equip!$A:$N,13,FALSE),0)&lt;=9),INT(VLOOKUP(AL634,Equip!$A:$N,6,FALSE)*SQRT(AP634)),0)</f>
        <v>0</v>
      </c>
      <c r="AV634">
        <f>IF(AND(IFERROR(VLOOKUP(AM634,Equip!$A:$N,13,FALSE),0)&gt;=5,IFERROR(VLOOKUP(AM634,Equip!$A:$N,13,FALSE),0)&lt;=9),INT(VLOOKUP(AM634,Equip!$A:$N,6,FALSE)*SQRT(AQ634)),0)</f>
        <v>0</v>
      </c>
      <c r="AW634">
        <f t="shared" si="1563"/>
        <v>0</v>
      </c>
      <c r="AX634">
        <f t="shared" si="1564"/>
        <v>1030</v>
      </c>
    </row>
    <row r="635" spans="1:50">
      <c r="A635">
        <v>671</v>
      </c>
      <c r="B635" t="s">
        <v>998</v>
      </c>
      <c r="C635" t="s">
        <v>998</v>
      </c>
      <c r="D635">
        <v>0</v>
      </c>
      <c r="E635">
        <v>0</v>
      </c>
      <c r="F635">
        <v>0</v>
      </c>
      <c r="G635">
        <v>668</v>
      </c>
      <c r="H635">
        <v>0</v>
      </c>
      <c r="I635">
        <v>0</v>
      </c>
      <c r="J635">
        <v>0</v>
      </c>
      <c r="K635">
        <v>7</v>
      </c>
      <c r="L635">
        <v>0</v>
      </c>
      <c r="M635">
        <v>480</v>
      </c>
      <c r="N635">
        <v>480</v>
      </c>
      <c r="O635">
        <v>180</v>
      </c>
      <c r="P635">
        <v>190</v>
      </c>
      <c r="Q635">
        <v>0</v>
      </c>
      <c r="R635">
        <v>20</v>
      </c>
      <c r="S635">
        <v>120</v>
      </c>
      <c r="T635">
        <v>0</v>
      </c>
      <c r="U635">
        <v>0</v>
      </c>
      <c r="V635">
        <v>100</v>
      </c>
      <c r="W635">
        <v>2</v>
      </c>
      <c r="X635">
        <v>60</v>
      </c>
      <c r="Y635">
        <v>15</v>
      </c>
      <c r="Z635">
        <v>0</v>
      </c>
      <c r="AA635">
        <v>0</v>
      </c>
      <c r="AB635">
        <v>180</v>
      </c>
      <c r="AC635">
        <v>0</v>
      </c>
      <c r="AD635">
        <v>120</v>
      </c>
      <c r="AE635">
        <v>190</v>
      </c>
      <c r="AF635">
        <v>60</v>
      </c>
      <c r="AG635">
        <v>20</v>
      </c>
      <c r="AH635">
        <v>0</v>
      </c>
      <c r="AI635">
        <v>100</v>
      </c>
      <c r="AJ635">
        <v>565</v>
      </c>
      <c r="AK635">
        <v>565</v>
      </c>
      <c r="AL635">
        <v>547</v>
      </c>
      <c r="AM635">
        <v>547</v>
      </c>
      <c r="AN635">
        <v>0</v>
      </c>
      <c r="AO635">
        <v>0</v>
      </c>
      <c r="AP635">
        <v>32</v>
      </c>
      <c r="AQ635">
        <v>32</v>
      </c>
      <c r="AR635">
        <f t="shared" si="1565"/>
        <v>64</v>
      </c>
      <c r="AS635">
        <f>IF(AND(IFERROR(VLOOKUP(AJ635,Equip!$A:$N,13,FALSE),0)&gt;=5,IFERROR(VLOOKUP(AJ635,Equip!$A:$N,13,FALSE),0)&lt;=9),INT(VLOOKUP(AJ635,Equip!$A:$N,6,FALSE)*SQRT(AN635)),0)</f>
        <v>0</v>
      </c>
      <c r="AT635">
        <f>IF(AND(IFERROR(VLOOKUP(AK635,Equip!$A:$N,13,FALSE),0)&gt;=5,IFERROR(VLOOKUP(AK635,Equip!$A:$N,13,FALSE),0)&lt;=9),INT(VLOOKUP(AK635,Equip!$A:$N,6,FALSE)*SQRT(AO635)),0)</f>
        <v>0</v>
      </c>
      <c r="AU635">
        <f>IF(AND(IFERROR(VLOOKUP(AL635,Equip!$A:$N,13,FALSE),0)&gt;=5,IFERROR(VLOOKUP(AL635,Equip!$A:$N,13,FALSE),0)&lt;=9),INT(VLOOKUP(AL635,Equip!$A:$N,6,FALSE)*SQRT(AP635)),0)</f>
        <v>0</v>
      </c>
      <c r="AV635">
        <f>IF(AND(IFERROR(VLOOKUP(AM635,Equip!$A:$N,13,FALSE),0)&gt;=5,IFERROR(VLOOKUP(AM635,Equip!$A:$N,13,FALSE),0)&lt;=9),INT(VLOOKUP(AM635,Equip!$A:$N,6,FALSE)*SQRT(AQ635)),0)</f>
        <v>0</v>
      </c>
      <c r="AW635">
        <f t="shared" si="1563"/>
        <v>0</v>
      </c>
      <c r="AX635">
        <f t="shared" si="1564"/>
        <v>1090</v>
      </c>
    </row>
    <row r="636" spans="1:50">
      <c r="A636">
        <v>672</v>
      </c>
      <c r="B636" t="s">
        <v>998</v>
      </c>
      <c r="C636" t="s">
        <v>998</v>
      </c>
      <c r="D636">
        <v>0</v>
      </c>
      <c r="E636">
        <v>0</v>
      </c>
      <c r="F636">
        <v>0</v>
      </c>
      <c r="G636">
        <v>668</v>
      </c>
      <c r="H636">
        <v>0</v>
      </c>
      <c r="I636">
        <v>0</v>
      </c>
      <c r="J636">
        <v>0</v>
      </c>
      <c r="K636">
        <v>8</v>
      </c>
      <c r="L636">
        <v>0</v>
      </c>
      <c r="M636">
        <v>480</v>
      </c>
      <c r="N636">
        <v>480</v>
      </c>
      <c r="O636">
        <v>180</v>
      </c>
      <c r="P636">
        <v>190</v>
      </c>
      <c r="Q636">
        <v>0</v>
      </c>
      <c r="R636">
        <v>20</v>
      </c>
      <c r="S636">
        <v>120</v>
      </c>
      <c r="T636">
        <v>0</v>
      </c>
      <c r="U636">
        <v>0</v>
      </c>
      <c r="V636">
        <v>100</v>
      </c>
      <c r="W636">
        <v>2</v>
      </c>
      <c r="X636">
        <v>60</v>
      </c>
      <c r="Y636">
        <v>15</v>
      </c>
      <c r="Z636">
        <v>0</v>
      </c>
      <c r="AA636">
        <v>0</v>
      </c>
      <c r="AB636">
        <v>180</v>
      </c>
      <c r="AC636">
        <v>0</v>
      </c>
      <c r="AD636">
        <v>120</v>
      </c>
      <c r="AE636">
        <v>190</v>
      </c>
      <c r="AF636">
        <v>60</v>
      </c>
      <c r="AG636">
        <v>20</v>
      </c>
      <c r="AH636">
        <v>0</v>
      </c>
      <c r="AI636">
        <v>100</v>
      </c>
      <c r="AJ636">
        <v>565</v>
      </c>
      <c r="AK636">
        <v>565</v>
      </c>
      <c r="AL636">
        <v>540</v>
      </c>
      <c r="AM636">
        <v>567</v>
      </c>
      <c r="AN636">
        <v>0</v>
      </c>
      <c r="AO636">
        <v>0</v>
      </c>
      <c r="AP636">
        <v>6</v>
      </c>
      <c r="AQ636">
        <v>6</v>
      </c>
      <c r="AR636">
        <f t="shared" si="1565"/>
        <v>12</v>
      </c>
      <c r="AS636">
        <f>IF(AND(IFERROR(VLOOKUP(AJ636,Equip!$A:$N,13,FALSE),0)&gt;=5,IFERROR(VLOOKUP(AJ636,Equip!$A:$N,13,FALSE),0)&lt;=9),INT(VLOOKUP(AJ636,Equip!$A:$N,6,FALSE)*SQRT(AN636)),0)</f>
        <v>0</v>
      </c>
      <c r="AT636">
        <f>IF(AND(IFERROR(VLOOKUP(AK636,Equip!$A:$N,13,FALSE),0)&gt;=5,IFERROR(VLOOKUP(AK636,Equip!$A:$N,13,FALSE),0)&lt;=9),INT(VLOOKUP(AK636,Equip!$A:$N,6,FALSE)*SQRT(AO636)),0)</f>
        <v>0</v>
      </c>
      <c r="AU636">
        <f>IF(AND(IFERROR(VLOOKUP(AL636,Equip!$A:$N,13,FALSE),0)&gt;=5,IFERROR(VLOOKUP(AL636,Equip!$A:$N,13,FALSE),0)&lt;=9),INT(VLOOKUP(AL636,Equip!$A:$N,6,FALSE)*SQRT(AP636)),0)</f>
        <v>0</v>
      </c>
      <c r="AV636">
        <f>IF(AND(IFERROR(VLOOKUP(AM636,Equip!$A:$N,13,FALSE),0)&gt;=5,IFERROR(VLOOKUP(AM636,Equip!$A:$N,13,FALSE),0)&lt;=9),INT(VLOOKUP(AM636,Equip!$A:$N,6,FALSE)*SQRT(AQ636)),0)</f>
        <v>0</v>
      </c>
      <c r="AW636">
        <f t="shared" si="1563"/>
        <v>0</v>
      </c>
      <c r="AX636">
        <f t="shared" si="1564"/>
        <v>1090</v>
      </c>
    </row>
    <row r="637" spans="1:50">
      <c r="A637">
        <v>673</v>
      </c>
      <c r="B637" t="s">
        <v>999</v>
      </c>
      <c r="C637" t="s">
        <v>999</v>
      </c>
      <c r="D637">
        <v>0</v>
      </c>
      <c r="E637">
        <v>0</v>
      </c>
      <c r="F637">
        <v>0</v>
      </c>
      <c r="G637">
        <v>673</v>
      </c>
      <c r="H637">
        <v>0</v>
      </c>
      <c r="I637">
        <v>0</v>
      </c>
      <c r="J637">
        <v>0</v>
      </c>
      <c r="K637">
        <v>1</v>
      </c>
      <c r="L637">
        <v>1</v>
      </c>
      <c r="M637">
        <v>170</v>
      </c>
      <c r="N637">
        <v>170</v>
      </c>
      <c r="O637">
        <v>80</v>
      </c>
      <c r="P637">
        <v>149</v>
      </c>
      <c r="Q637">
        <v>100</v>
      </c>
      <c r="R637">
        <v>74</v>
      </c>
      <c r="S637">
        <v>58</v>
      </c>
      <c r="T637">
        <v>44</v>
      </c>
      <c r="U637">
        <v>10</v>
      </c>
      <c r="V637">
        <v>24</v>
      </c>
      <c r="W637">
        <v>1</v>
      </c>
      <c r="X637">
        <v>49</v>
      </c>
      <c r="Y637">
        <v>10</v>
      </c>
      <c r="Z637">
        <v>0</v>
      </c>
      <c r="AA637">
        <v>0</v>
      </c>
      <c r="AB637">
        <v>80</v>
      </c>
      <c r="AC637">
        <v>100</v>
      </c>
      <c r="AD637">
        <v>58</v>
      </c>
      <c r="AE637">
        <v>149</v>
      </c>
      <c r="AF637">
        <v>49</v>
      </c>
      <c r="AG637">
        <v>74</v>
      </c>
      <c r="AH637">
        <v>44</v>
      </c>
      <c r="AI637">
        <v>24</v>
      </c>
      <c r="AJ637">
        <v>501</v>
      </c>
      <c r="AK637">
        <v>501</v>
      </c>
      <c r="AL637">
        <v>541</v>
      </c>
      <c r="AM637">
        <v>531</v>
      </c>
      <c r="AN637">
        <v>0</v>
      </c>
      <c r="AO637">
        <v>0</v>
      </c>
      <c r="AP637">
        <v>0</v>
      </c>
      <c r="AQ637">
        <v>0</v>
      </c>
      <c r="AR637">
        <f t="shared" si="1565"/>
        <v>0</v>
      </c>
      <c r="AS637">
        <f>IF(AND(IFERROR(VLOOKUP(AJ637,Equip!$A:$N,13,FALSE),0)&gt;=5,IFERROR(VLOOKUP(AJ637,Equip!$A:$N,13,FALSE),0)&lt;=9),INT(VLOOKUP(AJ637,Equip!$A:$N,6,FALSE)*SQRT(AN637)),0)</f>
        <v>0</v>
      </c>
      <c r="AT637">
        <f>IF(AND(IFERROR(VLOOKUP(AK637,Equip!$A:$N,13,FALSE),0)&gt;=5,IFERROR(VLOOKUP(AK637,Equip!$A:$N,13,FALSE),0)&lt;=9),INT(VLOOKUP(AK637,Equip!$A:$N,6,FALSE)*SQRT(AO637)),0)</f>
        <v>0</v>
      </c>
      <c r="AU637">
        <f>IF(AND(IFERROR(VLOOKUP(AL637,Equip!$A:$N,13,FALSE),0)&gt;=5,IFERROR(VLOOKUP(AL637,Equip!$A:$N,13,FALSE),0)&lt;=9),INT(VLOOKUP(AL637,Equip!$A:$N,6,FALSE)*SQRT(AP637)),0)</f>
        <v>0</v>
      </c>
      <c r="AV637">
        <f>IF(AND(IFERROR(VLOOKUP(AM637,Equip!$A:$N,13,FALSE),0)&gt;=5,IFERROR(VLOOKUP(AM637,Equip!$A:$N,13,FALSE),0)&lt;=9),INT(VLOOKUP(AM637,Equip!$A:$N,6,FALSE)*SQRT(AQ637)),0)</f>
        <v>0</v>
      </c>
      <c r="AW637">
        <f t="shared" si="1563"/>
        <v>0</v>
      </c>
      <c r="AX637">
        <f t="shared" si="1564"/>
        <v>699</v>
      </c>
    </row>
    <row r="638" spans="1:50">
      <c r="A638">
        <v>674</v>
      </c>
      <c r="B638" t="s">
        <v>999</v>
      </c>
      <c r="C638" t="s">
        <v>999</v>
      </c>
      <c r="D638">
        <v>0</v>
      </c>
      <c r="E638">
        <v>0</v>
      </c>
      <c r="F638">
        <v>0</v>
      </c>
      <c r="G638">
        <v>673</v>
      </c>
      <c r="H638">
        <v>0</v>
      </c>
      <c r="I638">
        <v>0</v>
      </c>
      <c r="J638">
        <v>0</v>
      </c>
      <c r="K638">
        <v>1</v>
      </c>
      <c r="L638">
        <v>1</v>
      </c>
      <c r="M638">
        <v>180</v>
      </c>
      <c r="N638">
        <v>180</v>
      </c>
      <c r="O638">
        <v>88</v>
      </c>
      <c r="P638">
        <v>158</v>
      </c>
      <c r="Q638">
        <v>110</v>
      </c>
      <c r="R638">
        <v>79</v>
      </c>
      <c r="S638">
        <v>64</v>
      </c>
      <c r="T638">
        <v>49</v>
      </c>
      <c r="U638">
        <v>10</v>
      </c>
      <c r="V638">
        <v>29</v>
      </c>
      <c r="W638">
        <v>1</v>
      </c>
      <c r="X638">
        <v>54</v>
      </c>
      <c r="Y638">
        <v>15</v>
      </c>
      <c r="Z638">
        <v>0</v>
      </c>
      <c r="AA638">
        <v>0</v>
      </c>
      <c r="AB638">
        <v>88</v>
      </c>
      <c r="AC638">
        <v>110</v>
      </c>
      <c r="AD638">
        <v>64</v>
      </c>
      <c r="AE638">
        <v>158</v>
      </c>
      <c r="AF638">
        <v>54</v>
      </c>
      <c r="AG638">
        <v>79</v>
      </c>
      <c r="AH638">
        <v>49</v>
      </c>
      <c r="AI638">
        <v>29</v>
      </c>
      <c r="AJ638">
        <v>501</v>
      </c>
      <c r="AK638">
        <v>501</v>
      </c>
      <c r="AL638">
        <v>541</v>
      </c>
      <c r="AM638">
        <v>531</v>
      </c>
      <c r="AN638">
        <v>0</v>
      </c>
      <c r="AO638">
        <v>0</v>
      </c>
      <c r="AP638">
        <v>0</v>
      </c>
      <c r="AQ638">
        <v>0</v>
      </c>
      <c r="AR638">
        <f t="shared" si="1565"/>
        <v>0</v>
      </c>
      <c r="AS638">
        <f>IF(AND(IFERROR(VLOOKUP(AJ638,Equip!$A:$N,13,FALSE),0)&gt;=5,IFERROR(VLOOKUP(AJ638,Equip!$A:$N,13,FALSE),0)&lt;=9),INT(VLOOKUP(AJ638,Equip!$A:$N,6,FALSE)*SQRT(AN638)),0)</f>
        <v>0</v>
      </c>
      <c r="AT638">
        <f>IF(AND(IFERROR(VLOOKUP(AK638,Equip!$A:$N,13,FALSE),0)&gt;=5,IFERROR(VLOOKUP(AK638,Equip!$A:$N,13,FALSE),0)&lt;=9),INT(VLOOKUP(AK638,Equip!$A:$N,6,FALSE)*SQRT(AO638)),0)</f>
        <v>0</v>
      </c>
      <c r="AU638">
        <f>IF(AND(IFERROR(VLOOKUP(AL638,Equip!$A:$N,13,FALSE),0)&gt;=5,IFERROR(VLOOKUP(AL638,Equip!$A:$N,13,FALSE),0)&lt;=9),INT(VLOOKUP(AL638,Equip!$A:$N,6,FALSE)*SQRT(AP638)),0)</f>
        <v>0</v>
      </c>
      <c r="AV638">
        <f>IF(AND(IFERROR(VLOOKUP(AM638,Equip!$A:$N,13,FALSE),0)&gt;=5,IFERROR(VLOOKUP(AM638,Equip!$A:$N,13,FALSE),0)&lt;=9),INT(VLOOKUP(AM638,Equip!$A:$N,6,FALSE)*SQRT(AQ638)),0)</f>
        <v>0</v>
      </c>
      <c r="AW638">
        <f t="shared" si="1563"/>
        <v>0</v>
      </c>
      <c r="AX638">
        <f t="shared" si="1564"/>
        <v>757</v>
      </c>
    </row>
    <row r="639" spans="1:50">
      <c r="A639">
        <v>675</v>
      </c>
      <c r="B639" t="s">
        <v>999</v>
      </c>
      <c r="C639" t="s">
        <v>999</v>
      </c>
      <c r="D639">
        <v>0</v>
      </c>
      <c r="E639">
        <v>0</v>
      </c>
      <c r="F639">
        <v>0</v>
      </c>
      <c r="G639">
        <v>673</v>
      </c>
      <c r="H639">
        <v>0</v>
      </c>
      <c r="I639">
        <v>0</v>
      </c>
      <c r="J639">
        <v>0</v>
      </c>
      <c r="K639">
        <v>1</v>
      </c>
      <c r="L639">
        <v>1</v>
      </c>
      <c r="M639">
        <v>190</v>
      </c>
      <c r="N639">
        <v>190</v>
      </c>
      <c r="O639">
        <v>96</v>
      </c>
      <c r="P639">
        <v>167</v>
      </c>
      <c r="Q639">
        <v>120</v>
      </c>
      <c r="R639">
        <v>84</v>
      </c>
      <c r="S639">
        <v>81</v>
      </c>
      <c r="T639">
        <v>54</v>
      </c>
      <c r="U639">
        <v>10</v>
      </c>
      <c r="V639">
        <v>34</v>
      </c>
      <c r="W639">
        <v>1</v>
      </c>
      <c r="X639">
        <v>59</v>
      </c>
      <c r="Y639">
        <v>20</v>
      </c>
      <c r="Z639">
        <v>0</v>
      </c>
      <c r="AA639">
        <v>0</v>
      </c>
      <c r="AB639">
        <v>96</v>
      </c>
      <c r="AC639">
        <v>120</v>
      </c>
      <c r="AD639">
        <v>81</v>
      </c>
      <c r="AE639">
        <v>167</v>
      </c>
      <c r="AF639">
        <v>59</v>
      </c>
      <c r="AG639">
        <v>84</v>
      </c>
      <c r="AH639">
        <v>54</v>
      </c>
      <c r="AI639">
        <v>34</v>
      </c>
      <c r="AJ639">
        <v>501</v>
      </c>
      <c r="AK639">
        <v>501</v>
      </c>
      <c r="AL639">
        <v>541</v>
      </c>
      <c r="AM639">
        <v>531</v>
      </c>
      <c r="AN639">
        <v>0</v>
      </c>
      <c r="AO639">
        <v>0</v>
      </c>
      <c r="AP639">
        <v>0</v>
      </c>
      <c r="AQ639">
        <v>0</v>
      </c>
      <c r="AR639">
        <f t="shared" si="1565"/>
        <v>0</v>
      </c>
      <c r="AS639">
        <f>IF(AND(IFERROR(VLOOKUP(AJ639,Equip!$A:$N,13,FALSE),0)&gt;=5,IFERROR(VLOOKUP(AJ639,Equip!$A:$N,13,FALSE),0)&lt;=9),INT(VLOOKUP(AJ639,Equip!$A:$N,6,FALSE)*SQRT(AN639)),0)</f>
        <v>0</v>
      </c>
      <c r="AT639">
        <f>IF(AND(IFERROR(VLOOKUP(AK639,Equip!$A:$N,13,FALSE),0)&gt;=5,IFERROR(VLOOKUP(AK639,Equip!$A:$N,13,FALSE),0)&lt;=9),INT(VLOOKUP(AK639,Equip!$A:$N,6,FALSE)*SQRT(AO639)),0)</f>
        <v>0</v>
      </c>
      <c r="AU639">
        <f>IF(AND(IFERROR(VLOOKUP(AL639,Equip!$A:$N,13,FALSE),0)&gt;=5,IFERROR(VLOOKUP(AL639,Equip!$A:$N,13,FALSE),0)&lt;=9),INT(VLOOKUP(AL639,Equip!$A:$N,6,FALSE)*SQRT(AP639)),0)</f>
        <v>0</v>
      </c>
      <c r="AV639">
        <f>IF(AND(IFERROR(VLOOKUP(AM639,Equip!$A:$N,13,FALSE),0)&gt;=5,IFERROR(VLOOKUP(AM639,Equip!$A:$N,13,FALSE),0)&lt;=9),INT(VLOOKUP(AM639,Equip!$A:$N,6,FALSE)*SQRT(AQ639)),0)</f>
        <v>0</v>
      </c>
      <c r="AW639">
        <f t="shared" si="1563"/>
        <v>0</v>
      </c>
      <c r="AX639">
        <f t="shared" si="1564"/>
        <v>826</v>
      </c>
    </row>
    <row r="641" spans="1:50">
      <c r="A641">
        <v>681</v>
      </c>
      <c r="B641" t="s">
        <v>1000</v>
      </c>
      <c r="C641" t="s">
        <v>1000</v>
      </c>
      <c r="D641">
        <v>0</v>
      </c>
      <c r="E641">
        <v>1552</v>
      </c>
      <c r="F641">
        <v>926</v>
      </c>
      <c r="G641">
        <v>681</v>
      </c>
      <c r="H641">
        <v>1</v>
      </c>
      <c r="I641">
        <v>0</v>
      </c>
      <c r="J641">
        <v>10</v>
      </c>
      <c r="K641">
        <v>14</v>
      </c>
      <c r="L641">
        <v>4</v>
      </c>
      <c r="M641">
        <v>70</v>
      </c>
      <c r="N641">
        <v>70</v>
      </c>
      <c r="O641">
        <v>100</v>
      </c>
      <c r="P641">
        <v>60</v>
      </c>
      <c r="Q641">
        <v>110</v>
      </c>
      <c r="R641">
        <v>50</v>
      </c>
      <c r="S641">
        <v>40</v>
      </c>
      <c r="T641">
        <v>0</v>
      </c>
      <c r="U641">
        <v>10</v>
      </c>
      <c r="V641">
        <v>60</v>
      </c>
      <c r="W641">
        <v>3</v>
      </c>
      <c r="X641">
        <v>50</v>
      </c>
      <c r="Y641">
        <v>0</v>
      </c>
      <c r="Z641">
        <v>150</v>
      </c>
      <c r="AA641">
        <v>150</v>
      </c>
      <c r="AB641">
        <v>129</v>
      </c>
      <c r="AC641">
        <v>129</v>
      </c>
      <c r="AD641">
        <v>59</v>
      </c>
      <c r="AE641">
        <v>99</v>
      </c>
      <c r="AF641">
        <v>59</v>
      </c>
      <c r="AG641">
        <v>69</v>
      </c>
      <c r="AH641">
        <v>0</v>
      </c>
      <c r="AI641">
        <v>69</v>
      </c>
      <c r="AJ641">
        <v>0</v>
      </c>
      <c r="AK641">
        <v>0</v>
      </c>
      <c r="AL641">
        <v>-1</v>
      </c>
      <c r="AM641">
        <v>-1</v>
      </c>
      <c r="AN641">
        <v>0</v>
      </c>
      <c r="AO641">
        <v>0</v>
      </c>
      <c r="AP641">
        <v>0</v>
      </c>
      <c r="AQ641">
        <v>0</v>
      </c>
      <c r="AR641">
        <f t="shared" si="1565"/>
        <v>0</v>
      </c>
      <c r="AS641">
        <f>IF(AND(IFERROR(VLOOKUP(AJ641,Equip!$A:$N,13,FALSE),0)&gt;=5,IFERROR(VLOOKUP(AJ641,Equip!$A:$N,13,FALSE),0)&lt;=9),INT(VLOOKUP(AJ641,Equip!$A:$N,6,FALSE)*SQRT(AN641)),0)</f>
        <v>0</v>
      </c>
      <c r="AT641">
        <f>IF(AND(IFERROR(VLOOKUP(AK641,Equip!$A:$N,13,FALSE),0)&gt;=5,IFERROR(VLOOKUP(AK641,Equip!$A:$N,13,FALSE),0)&lt;=9),INT(VLOOKUP(AK641,Equip!$A:$N,6,FALSE)*SQRT(AO641)),0)</f>
        <v>0</v>
      </c>
      <c r="AU641">
        <f>IF(AND(IFERROR(VLOOKUP(AL641,Equip!$A:$N,13,FALSE),0)&gt;=5,IFERROR(VLOOKUP(AL641,Equip!$A:$N,13,FALSE),0)&lt;=9),INT(VLOOKUP(AL641,Equip!$A:$N,6,FALSE)*SQRT(AP641)),0)</f>
        <v>0</v>
      </c>
      <c r="AV641">
        <f>IF(AND(IFERROR(VLOOKUP(AM641,Equip!$A:$N,13,FALSE),0)&gt;=5,IFERROR(VLOOKUP(AM641,Equip!$A:$N,13,FALSE),0)&lt;=9),INT(VLOOKUP(AM641,Equip!$A:$N,6,FALSE)*SQRT(AQ641)),0)</f>
        <v>0</v>
      </c>
      <c r="AW641">
        <f t="shared" si="1563"/>
        <v>0</v>
      </c>
      <c r="AX641">
        <f t="shared" si="1564"/>
        <v>624</v>
      </c>
    </row>
    <row r="642" spans="1:50">
      <c r="A642">
        <v>681</v>
      </c>
      <c r="B642" t="s">
        <v>1000</v>
      </c>
      <c r="C642" t="s">
        <v>1000</v>
      </c>
      <c r="D642">
        <v>1</v>
      </c>
      <c r="E642">
        <f>E641</f>
        <v>1552</v>
      </c>
      <c r="F642">
        <f t="shared" ref="F642" si="1566">F641</f>
        <v>926</v>
      </c>
      <c r="G642">
        <f t="shared" ref="G642" si="1567">G641</f>
        <v>681</v>
      </c>
      <c r="H642">
        <f t="shared" ref="H642" si="1568">H641</f>
        <v>1</v>
      </c>
      <c r="I642">
        <f t="shared" ref="I642" si="1569">I641</f>
        <v>0</v>
      </c>
      <c r="J642">
        <f t="shared" ref="J642" si="1570">J641</f>
        <v>10</v>
      </c>
      <c r="K642">
        <v>13</v>
      </c>
      <c r="L642">
        <v>4</v>
      </c>
      <c r="M642">
        <v>70</v>
      </c>
      <c r="N642">
        <v>70</v>
      </c>
      <c r="O642">
        <v>100</v>
      </c>
      <c r="P642">
        <v>60</v>
      </c>
      <c r="Q642">
        <v>110</v>
      </c>
      <c r="R642">
        <v>50</v>
      </c>
      <c r="S642">
        <v>40</v>
      </c>
      <c r="T642">
        <v>0</v>
      </c>
      <c r="U642">
        <f t="shared" ref="U642" si="1571">U641</f>
        <v>10</v>
      </c>
      <c r="V642">
        <v>60</v>
      </c>
      <c r="W642">
        <f t="shared" ref="W642" si="1572">W641</f>
        <v>3</v>
      </c>
      <c r="X642">
        <v>50</v>
      </c>
      <c r="Y642">
        <f t="shared" ref="Y642" si="1573">Y641</f>
        <v>0</v>
      </c>
      <c r="Z642">
        <v>125</v>
      </c>
      <c r="AA642">
        <v>125</v>
      </c>
      <c r="AB642">
        <v>129</v>
      </c>
      <c r="AC642">
        <v>129</v>
      </c>
      <c r="AD642">
        <v>59</v>
      </c>
      <c r="AE642">
        <v>99</v>
      </c>
      <c r="AF642">
        <v>89</v>
      </c>
      <c r="AG642">
        <v>69</v>
      </c>
      <c r="AH642">
        <v>0</v>
      </c>
      <c r="AI642">
        <v>69</v>
      </c>
      <c r="AJ642">
        <v>0</v>
      </c>
      <c r="AK642">
        <v>0</v>
      </c>
      <c r="AL642">
        <v>0</v>
      </c>
      <c r="AM642">
        <v>-1</v>
      </c>
      <c r="AN642">
        <v>0</v>
      </c>
      <c r="AO642">
        <v>0</v>
      </c>
      <c r="AP642">
        <v>3</v>
      </c>
      <c r="AQ642">
        <v>0</v>
      </c>
      <c r="AR642">
        <f t="shared" si="1565"/>
        <v>3</v>
      </c>
      <c r="AS642">
        <f>IF(AND(IFERROR(VLOOKUP(AJ642,Equip!$A:$N,13,FALSE),0)&gt;=5,IFERROR(VLOOKUP(AJ642,Equip!$A:$N,13,FALSE),0)&lt;=9),INT(VLOOKUP(AJ642,Equip!$A:$N,6,FALSE)*SQRT(AN642)),0)</f>
        <v>0</v>
      </c>
      <c r="AT642">
        <f>IF(AND(IFERROR(VLOOKUP(AK642,Equip!$A:$N,13,FALSE),0)&gt;=5,IFERROR(VLOOKUP(AK642,Equip!$A:$N,13,FALSE),0)&lt;=9),INT(VLOOKUP(AK642,Equip!$A:$N,6,FALSE)*SQRT(AO642)),0)</f>
        <v>0</v>
      </c>
      <c r="AU642">
        <f>IF(AND(IFERROR(VLOOKUP(AL642,Equip!$A:$N,13,FALSE),0)&gt;=5,IFERROR(VLOOKUP(AL642,Equip!$A:$N,13,FALSE),0)&lt;=9),INT(VLOOKUP(AL642,Equip!$A:$N,6,FALSE)*SQRT(AP642)),0)</f>
        <v>0</v>
      </c>
      <c r="AV642">
        <f>IF(AND(IFERROR(VLOOKUP(AM642,Equip!$A:$N,13,FALSE),0)&gt;=5,IFERROR(VLOOKUP(AM642,Equip!$A:$N,13,FALSE),0)&lt;=9),INT(VLOOKUP(AM642,Equip!$A:$N,6,FALSE)*SQRT(AQ642)),0)</f>
        <v>0</v>
      </c>
      <c r="AW642">
        <f t="shared" si="1563"/>
        <v>0</v>
      </c>
      <c r="AX642">
        <f t="shared" si="1564"/>
        <v>624</v>
      </c>
    </row>
    <row r="643" spans="1:50">
      <c r="A643">
        <v>682</v>
      </c>
      <c r="B643" t="s">
        <v>1001</v>
      </c>
      <c r="C643" t="s">
        <v>1001</v>
      </c>
      <c r="D643">
        <v>0</v>
      </c>
      <c r="E643">
        <v>2078</v>
      </c>
      <c r="F643">
        <v>1139</v>
      </c>
      <c r="G643">
        <v>682</v>
      </c>
      <c r="H643">
        <v>2</v>
      </c>
      <c r="I643">
        <v>0</v>
      </c>
      <c r="J643">
        <v>9</v>
      </c>
      <c r="K643">
        <v>3</v>
      </c>
      <c r="L643">
        <v>4</v>
      </c>
      <c r="M643">
        <v>77</v>
      </c>
      <c r="N643">
        <v>77</v>
      </c>
      <c r="O643">
        <v>120</v>
      </c>
      <c r="P643">
        <v>90</v>
      </c>
      <c r="Q643">
        <v>60</v>
      </c>
      <c r="R643">
        <v>40</v>
      </c>
      <c r="S643">
        <v>50</v>
      </c>
      <c r="T643">
        <v>0</v>
      </c>
      <c r="U643">
        <v>10</v>
      </c>
      <c r="V643">
        <v>70</v>
      </c>
      <c r="W643">
        <v>3</v>
      </c>
      <c r="X643">
        <v>20</v>
      </c>
      <c r="Y643">
        <v>0</v>
      </c>
      <c r="Z643">
        <v>175</v>
      </c>
      <c r="AA643">
        <v>200</v>
      </c>
      <c r="AB643">
        <v>139</v>
      </c>
      <c r="AC643">
        <v>79</v>
      </c>
      <c r="AD643">
        <v>69</v>
      </c>
      <c r="AE643">
        <v>109</v>
      </c>
      <c r="AF643">
        <v>29</v>
      </c>
      <c r="AG643">
        <v>59</v>
      </c>
      <c r="AH643">
        <v>0</v>
      </c>
      <c r="AI643">
        <v>79</v>
      </c>
      <c r="AJ643">
        <v>0</v>
      </c>
      <c r="AK643">
        <v>0</v>
      </c>
      <c r="AL643">
        <v>0</v>
      </c>
      <c r="AM643">
        <v>0</v>
      </c>
      <c r="AN643">
        <v>0</v>
      </c>
      <c r="AO643">
        <v>0</v>
      </c>
      <c r="AP643">
        <v>0</v>
      </c>
      <c r="AQ643">
        <v>0</v>
      </c>
      <c r="AR643">
        <f t="shared" si="1565"/>
        <v>0</v>
      </c>
      <c r="AS643">
        <f>IF(AND(IFERROR(VLOOKUP(AJ643,Equip!$A:$N,13,FALSE),0)&gt;=5,IFERROR(VLOOKUP(AJ643,Equip!$A:$N,13,FALSE),0)&lt;=9),INT(VLOOKUP(AJ643,Equip!$A:$N,6,FALSE)*SQRT(AN643)),0)</f>
        <v>0</v>
      </c>
      <c r="AT643">
        <f>IF(AND(IFERROR(VLOOKUP(AK643,Equip!$A:$N,13,FALSE),0)&gt;=5,IFERROR(VLOOKUP(AK643,Equip!$A:$N,13,FALSE),0)&lt;=9),INT(VLOOKUP(AK643,Equip!$A:$N,6,FALSE)*SQRT(AO643)),0)</f>
        <v>0</v>
      </c>
      <c r="AU643">
        <f>IF(AND(IFERROR(VLOOKUP(AL643,Equip!$A:$N,13,FALSE),0)&gt;=5,IFERROR(VLOOKUP(AL643,Equip!$A:$N,13,FALSE),0)&lt;=9),INT(VLOOKUP(AL643,Equip!$A:$N,6,FALSE)*SQRT(AP643)),0)</f>
        <v>0</v>
      </c>
      <c r="AV643">
        <f>IF(AND(IFERROR(VLOOKUP(AM643,Equip!$A:$N,13,FALSE),0)&gt;=5,IFERROR(VLOOKUP(AM643,Equip!$A:$N,13,FALSE),0)&lt;=9),INT(VLOOKUP(AM643,Equip!$A:$N,6,FALSE)*SQRT(AQ643)),0)</f>
        <v>0</v>
      </c>
      <c r="AW643">
        <f t="shared" si="1563"/>
        <v>0</v>
      </c>
      <c r="AX643">
        <f t="shared" si="1564"/>
        <v>611</v>
      </c>
    </row>
    <row r="644" spans="1:50">
      <c r="A644">
        <v>682</v>
      </c>
      <c r="B644" t="s">
        <v>1001</v>
      </c>
      <c r="C644" t="s">
        <v>1001</v>
      </c>
      <c r="D644">
        <v>1</v>
      </c>
      <c r="E644">
        <f>E643</f>
        <v>2078</v>
      </c>
      <c r="F644">
        <f t="shared" ref="F644" si="1574">F643</f>
        <v>1139</v>
      </c>
      <c r="G644">
        <f t="shared" ref="G644" si="1575">G643</f>
        <v>682</v>
      </c>
      <c r="H644">
        <f t="shared" ref="H644" si="1576">H643</f>
        <v>2</v>
      </c>
      <c r="I644">
        <f t="shared" ref="I644" si="1577">I643</f>
        <v>0</v>
      </c>
      <c r="J644">
        <f t="shared" ref="J644" si="1578">J643</f>
        <v>9</v>
      </c>
      <c r="K644">
        <v>3</v>
      </c>
      <c r="L644">
        <v>4</v>
      </c>
      <c r="M644">
        <v>77</v>
      </c>
      <c r="N644">
        <v>77</v>
      </c>
      <c r="O644">
        <v>120</v>
      </c>
      <c r="P644">
        <v>90</v>
      </c>
      <c r="Q644">
        <v>60</v>
      </c>
      <c r="R644">
        <v>40</v>
      </c>
      <c r="S644">
        <v>50</v>
      </c>
      <c r="T644">
        <v>0</v>
      </c>
      <c r="U644">
        <f t="shared" ref="U644" si="1579">U643</f>
        <v>10</v>
      </c>
      <c r="V644">
        <v>70</v>
      </c>
      <c r="W644">
        <f t="shared" ref="W644" si="1580">W643</f>
        <v>3</v>
      </c>
      <c r="X644">
        <v>20</v>
      </c>
      <c r="Y644">
        <f t="shared" ref="Y644" si="1581">Y643</f>
        <v>0</v>
      </c>
      <c r="Z644">
        <v>160</v>
      </c>
      <c r="AA644">
        <v>180</v>
      </c>
      <c r="AB644">
        <v>139</v>
      </c>
      <c r="AC644">
        <v>79</v>
      </c>
      <c r="AD644">
        <v>69</v>
      </c>
      <c r="AE644">
        <v>109</v>
      </c>
      <c r="AF644">
        <v>69</v>
      </c>
      <c r="AG644">
        <v>59</v>
      </c>
      <c r="AH644">
        <v>0</v>
      </c>
      <c r="AI644">
        <v>79</v>
      </c>
      <c r="AJ644">
        <v>0</v>
      </c>
      <c r="AK644">
        <v>0</v>
      </c>
      <c r="AL644">
        <v>0</v>
      </c>
      <c r="AM644">
        <v>0</v>
      </c>
      <c r="AN644">
        <v>0</v>
      </c>
      <c r="AO644">
        <v>0</v>
      </c>
      <c r="AP644">
        <v>0</v>
      </c>
      <c r="AQ644">
        <v>2</v>
      </c>
      <c r="AR644">
        <f t="shared" si="1565"/>
        <v>2</v>
      </c>
      <c r="AS644">
        <f>IF(AND(IFERROR(VLOOKUP(AJ644,Equip!$A:$N,13,FALSE),0)&gt;=5,IFERROR(VLOOKUP(AJ644,Equip!$A:$N,13,FALSE),0)&lt;=9),INT(VLOOKUP(AJ644,Equip!$A:$N,6,FALSE)*SQRT(AN644)),0)</f>
        <v>0</v>
      </c>
      <c r="AT644">
        <f>IF(AND(IFERROR(VLOOKUP(AK644,Equip!$A:$N,13,FALSE),0)&gt;=5,IFERROR(VLOOKUP(AK644,Equip!$A:$N,13,FALSE),0)&lt;=9),INT(VLOOKUP(AK644,Equip!$A:$N,6,FALSE)*SQRT(AO644)),0)</f>
        <v>0</v>
      </c>
      <c r="AU644">
        <f>IF(AND(IFERROR(VLOOKUP(AL644,Equip!$A:$N,13,FALSE),0)&gt;=5,IFERROR(VLOOKUP(AL644,Equip!$A:$N,13,FALSE),0)&lt;=9),INT(VLOOKUP(AL644,Equip!$A:$N,6,FALSE)*SQRT(AP644)),0)</f>
        <v>0</v>
      </c>
      <c r="AV644">
        <f>IF(AND(IFERROR(VLOOKUP(AM644,Equip!$A:$N,13,FALSE),0)&gt;=5,IFERROR(VLOOKUP(AM644,Equip!$A:$N,13,FALSE),0)&lt;=9),INT(VLOOKUP(AM644,Equip!$A:$N,6,FALSE)*SQRT(AQ644)),0)</f>
        <v>0</v>
      </c>
      <c r="AW644">
        <f t="shared" ref="AW644:AW707" si="1582">SUM(AS644:AV644)</f>
        <v>0</v>
      </c>
      <c r="AX644">
        <f t="shared" ref="AX644:AX707" si="1583">SUM(N644,AB644:AE644,AG644:AI644)</f>
        <v>611</v>
      </c>
    </row>
    <row r="645" spans="1:50">
      <c r="A645">
        <v>683</v>
      </c>
      <c r="B645" t="s">
        <v>1002</v>
      </c>
      <c r="C645" t="s">
        <v>1002</v>
      </c>
      <c r="D645">
        <v>0</v>
      </c>
      <c r="E645">
        <v>2422</v>
      </c>
      <c r="F645">
        <v>1311</v>
      </c>
      <c r="G645">
        <v>683</v>
      </c>
      <c r="H645">
        <v>1</v>
      </c>
      <c r="I645">
        <v>0</v>
      </c>
      <c r="J645">
        <v>5</v>
      </c>
      <c r="K645">
        <v>8</v>
      </c>
      <c r="L645">
        <v>7</v>
      </c>
      <c r="M645">
        <v>102</v>
      </c>
      <c r="N645">
        <v>102</v>
      </c>
      <c r="O645">
        <v>135</v>
      </c>
      <c r="P645">
        <v>110</v>
      </c>
      <c r="Q645">
        <v>0</v>
      </c>
      <c r="R645">
        <v>37</v>
      </c>
      <c r="S645">
        <v>60</v>
      </c>
      <c r="T645">
        <v>0</v>
      </c>
      <c r="U645">
        <v>10</v>
      </c>
      <c r="V645">
        <v>80</v>
      </c>
      <c r="W645">
        <v>4</v>
      </c>
      <c r="X645">
        <v>30</v>
      </c>
      <c r="Y645">
        <v>0</v>
      </c>
      <c r="Z645">
        <v>200</v>
      </c>
      <c r="AA645">
        <v>275</v>
      </c>
      <c r="AB645">
        <v>149</v>
      </c>
      <c r="AC645">
        <v>0</v>
      </c>
      <c r="AD645">
        <v>79</v>
      </c>
      <c r="AE645">
        <v>119</v>
      </c>
      <c r="AF645">
        <v>39</v>
      </c>
      <c r="AG645">
        <v>49</v>
      </c>
      <c r="AH645">
        <v>0</v>
      </c>
      <c r="AI645">
        <v>89</v>
      </c>
      <c r="AJ645">
        <v>0</v>
      </c>
      <c r="AK645">
        <v>0</v>
      </c>
      <c r="AL645">
        <v>0</v>
      </c>
      <c r="AM645">
        <v>0</v>
      </c>
      <c r="AN645">
        <v>0</v>
      </c>
      <c r="AO645">
        <v>0</v>
      </c>
      <c r="AP645">
        <v>0</v>
      </c>
      <c r="AQ645">
        <v>0</v>
      </c>
      <c r="AR645">
        <f t="shared" si="1565"/>
        <v>0</v>
      </c>
      <c r="AS645">
        <f>IF(AND(IFERROR(VLOOKUP(AJ645,Equip!$A:$N,13,FALSE),0)&gt;=5,IFERROR(VLOOKUP(AJ645,Equip!$A:$N,13,FALSE),0)&lt;=9),INT(VLOOKUP(AJ645,Equip!$A:$N,6,FALSE)*SQRT(AN645)),0)</f>
        <v>0</v>
      </c>
      <c r="AT645">
        <f>IF(AND(IFERROR(VLOOKUP(AK645,Equip!$A:$N,13,FALSE),0)&gt;=5,IFERROR(VLOOKUP(AK645,Equip!$A:$N,13,FALSE),0)&lt;=9),INT(VLOOKUP(AK645,Equip!$A:$N,6,FALSE)*SQRT(AO645)),0)</f>
        <v>0</v>
      </c>
      <c r="AU645">
        <f>IF(AND(IFERROR(VLOOKUP(AL645,Equip!$A:$N,13,FALSE),0)&gt;=5,IFERROR(VLOOKUP(AL645,Equip!$A:$N,13,FALSE),0)&lt;=9),INT(VLOOKUP(AL645,Equip!$A:$N,6,FALSE)*SQRT(AP645)),0)</f>
        <v>0</v>
      </c>
      <c r="AV645">
        <f>IF(AND(IFERROR(VLOOKUP(AM645,Equip!$A:$N,13,FALSE),0)&gt;=5,IFERROR(VLOOKUP(AM645,Equip!$A:$N,13,FALSE),0)&lt;=9),INT(VLOOKUP(AM645,Equip!$A:$N,6,FALSE)*SQRT(AQ645)),0)</f>
        <v>0</v>
      </c>
      <c r="AW645">
        <f t="shared" si="1582"/>
        <v>0</v>
      </c>
      <c r="AX645">
        <f t="shared" si="1583"/>
        <v>587</v>
      </c>
    </row>
    <row r="646" spans="1:50">
      <c r="A646">
        <v>683</v>
      </c>
      <c r="B646" t="s">
        <v>1002</v>
      </c>
      <c r="C646" t="s">
        <v>1002</v>
      </c>
      <c r="D646">
        <v>1</v>
      </c>
      <c r="E646">
        <f>E645</f>
        <v>2422</v>
      </c>
      <c r="F646">
        <f t="shared" ref="F646" si="1584">F645</f>
        <v>1311</v>
      </c>
      <c r="G646">
        <f t="shared" ref="G646" si="1585">G645</f>
        <v>683</v>
      </c>
      <c r="H646">
        <f t="shared" ref="H646" si="1586">H645</f>
        <v>1</v>
      </c>
      <c r="I646">
        <f t="shared" ref="I646" si="1587">I645</f>
        <v>0</v>
      </c>
      <c r="J646">
        <f t="shared" ref="J646" si="1588">J645</f>
        <v>5</v>
      </c>
      <c r="K646">
        <v>8</v>
      </c>
      <c r="L646">
        <v>7</v>
      </c>
      <c r="M646">
        <v>102</v>
      </c>
      <c r="N646">
        <v>102</v>
      </c>
      <c r="O646">
        <v>135</v>
      </c>
      <c r="P646">
        <v>110</v>
      </c>
      <c r="Q646">
        <v>0</v>
      </c>
      <c r="R646">
        <v>37</v>
      </c>
      <c r="S646">
        <v>60</v>
      </c>
      <c r="T646">
        <v>0</v>
      </c>
      <c r="U646">
        <f t="shared" ref="U646" si="1589">U645</f>
        <v>10</v>
      </c>
      <c r="V646">
        <v>80</v>
      </c>
      <c r="W646">
        <f t="shared" ref="W646" si="1590">W645</f>
        <v>4</v>
      </c>
      <c r="X646">
        <v>30</v>
      </c>
      <c r="Y646">
        <f t="shared" ref="Y646" si="1591">Y645</f>
        <v>0</v>
      </c>
      <c r="Z646">
        <v>200</v>
      </c>
      <c r="AA646">
        <v>250</v>
      </c>
      <c r="AB646">
        <v>149</v>
      </c>
      <c r="AC646">
        <v>0</v>
      </c>
      <c r="AD646">
        <v>79</v>
      </c>
      <c r="AE646">
        <v>119</v>
      </c>
      <c r="AF646">
        <v>79</v>
      </c>
      <c r="AG646">
        <v>49</v>
      </c>
      <c r="AH646">
        <v>0</v>
      </c>
      <c r="AI646">
        <v>89</v>
      </c>
      <c r="AJ646">
        <v>0</v>
      </c>
      <c r="AK646">
        <v>0</v>
      </c>
      <c r="AL646">
        <v>0</v>
      </c>
      <c r="AM646">
        <v>0</v>
      </c>
      <c r="AN646">
        <v>0</v>
      </c>
      <c r="AO646">
        <v>0</v>
      </c>
      <c r="AP646">
        <v>0</v>
      </c>
      <c r="AQ646">
        <v>2</v>
      </c>
      <c r="AR646">
        <f t="shared" si="1565"/>
        <v>2</v>
      </c>
      <c r="AS646">
        <f>IF(AND(IFERROR(VLOOKUP(AJ646,Equip!$A:$N,13,FALSE),0)&gt;=5,IFERROR(VLOOKUP(AJ646,Equip!$A:$N,13,FALSE),0)&lt;=9),INT(VLOOKUP(AJ646,Equip!$A:$N,6,FALSE)*SQRT(AN646)),0)</f>
        <v>0</v>
      </c>
      <c r="AT646">
        <f>IF(AND(IFERROR(VLOOKUP(AK646,Equip!$A:$N,13,FALSE),0)&gt;=5,IFERROR(VLOOKUP(AK646,Equip!$A:$N,13,FALSE),0)&lt;=9),INT(VLOOKUP(AK646,Equip!$A:$N,6,FALSE)*SQRT(AO646)),0)</f>
        <v>0</v>
      </c>
      <c r="AU646">
        <f>IF(AND(IFERROR(VLOOKUP(AL646,Equip!$A:$N,13,FALSE),0)&gt;=5,IFERROR(VLOOKUP(AL646,Equip!$A:$N,13,FALSE),0)&lt;=9),INT(VLOOKUP(AL646,Equip!$A:$N,6,FALSE)*SQRT(AP646)),0)</f>
        <v>0</v>
      </c>
      <c r="AV646">
        <f>IF(AND(IFERROR(VLOOKUP(AM646,Equip!$A:$N,13,FALSE),0)&gt;=5,IFERROR(VLOOKUP(AM646,Equip!$A:$N,13,FALSE),0)&lt;=9),INT(VLOOKUP(AM646,Equip!$A:$N,6,FALSE)*SQRT(AQ646)),0)</f>
        <v>0</v>
      </c>
      <c r="AW646">
        <f t="shared" si="1582"/>
        <v>0</v>
      </c>
      <c r="AX646">
        <f t="shared" si="1583"/>
        <v>587</v>
      </c>
    </row>
    <row r="647" spans="1:50">
      <c r="A647">
        <v>684</v>
      </c>
      <c r="B647" t="s">
        <v>1003</v>
      </c>
      <c r="C647" t="s">
        <v>1003</v>
      </c>
      <c r="D647">
        <v>0</v>
      </c>
      <c r="E647">
        <v>1602</v>
      </c>
      <c r="F647">
        <v>988</v>
      </c>
      <c r="G647">
        <v>684</v>
      </c>
      <c r="H647">
        <v>0</v>
      </c>
      <c r="I647">
        <v>0</v>
      </c>
      <c r="J647">
        <v>0</v>
      </c>
      <c r="K647">
        <v>2</v>
      </c>
      <c r="L647">
        <v>2</v>
      </c>
      <c r="M647">
        <v>55</v>
      </c>
      <c r="N647">
        <v>55</v>
      </c>
      <c r="O647">
        <v>75</v>
      </c>
      <c r="P647">
        <v>66</v>
      </c>
      <c r="Q647">
        <v>60</v>
      </c>
      <c r="R647">
        <v>28</v>
      </c>
      <c r="S647">
        <v>30</v>
      </c>
      <c r="T647">
        <v>98</v>
      </c>
      <c r="U647">
        <v>10</v>
      </c>
      <c r="V647">
        <v>50</v>
      </c>
      <c r="W647">
        <v>3</v>
      </c>
      <c r="X647">
        <v>10</v>
      </c>
      <c r="Y647">
        <v>0</v>
      </c>
      <c r="Z647">
        <v>125</v>
      </c>
      <c r="AA647">
        <v>175</v>
      </c>
      <c r="AB647">
        <v>75</v>
      </c>
      <c r="AC647">
        <v>60</v>
      </c>
      <c r="AD647">
        <v>30</v>
      </c>
      <c r="AE647">
        <v>66</v>
      </c>
      <c r="AF647">
        <v>10</v>
      </c>
      <c r="AG647">
        <v>28</v>
      </c>
      <c r="AH647">
        <v>98</v>
      </c>
      <c r="AI647">
        <v>50</v>
      </c>
      <c r="AJ647">
        <v>0</v>
      </c>
      <c r="AK647">
        <v>0</v>
      </c>
      <c r="AL647">
        <v>0</v>
      </c>
      <c r="AM647">
        <v>-1</v>
      </c>
      <c r="AN647">
        <v>0</v>
      </c>
      <c r="AO647">
        <v>0</v>
      </c>
      <c r="AP647">
        <v>0</v>
      </c>
      <c r="AQ647">
        <v>0</v>
      </c>
      <c r="AR647">
        <f t="shared" ref="AR647:AR712" si="1592">SUM(AN647:AQ647)</f>
        <v>0</v>
      </c>
      <c r="AS647">
        <f>IF(AND(IFERROR(VLOOKUP(AJ647,Equip!$A:$N,13,FALSE),0)&gt;=5,IFERROR(VLOOKUP(AJ647,Equip!$A:$N,13,FALSE),0)&lt;=9),INT(VLOOKUP(AJ647,Equip!$A:$N,6,FALSE)*SQRT(AN647)),0)</f>
        <v>0</v>
      </c>
      <c r="AT647">
        <f>IF(AND(IFERROR(VLOOKUP(AK647,Equip!$A:$N,13,FALSE),0)&gt;=5,IFERROR(VLOOKUP(AK647,Equip!$A:$N,13,FALSE),0)&lt;=9),INT(VLOOKUP(AK647,Equip!$A:$N,6,FALSE)*SQRT(AO647)),0)</f>
        <v>0</v>
      </c>
      <c r="AU647">
        <f>IF(AND(IFERROR(VLOOKUP(AL647,Equip!$A:$N,13,FALSE),0)&gt;=5,IFERROR(VLOOKUP(AL647,Equip!$A:$N,13,FALSE),0)&lt;=9),INT(VLOOKUP(AL647,Equip!$A:$N,6,FALSE)*SQRT(AP647)),0)</f>
        <v>0</v>
      </c>
      <c r="AV647">
        <f>IF(AND(IFERROR(VLOOKUP(AM647,Equip!$A:$N,13,FALSE),0)&gt;=5,IFERROR(VLOOKUP(AM647,Equip!$A:$N,13,FALSE),0)&lt;=9),INT(VLOOKUP(AM647,Equip!$A:$N,6,FALSE)*SQRT(AQ647)),0)</f>
        <v>0</v>
      </c>
      <c r="AW647">
        <f t="shared" si="1582"/>
        <v>0</v>
      </c>
      <c r="AX647">
        <f t="shared" si="1583"/>
        <v>462</v>
      </c>
    </row>
    <row r="648" spans="1:50">
      <c r="A648">
        <v>685</v>
      </c>
      <c r="B648" t="s">
        <v>1003</v>
      </c>
      <c r="C648" t="s">
        <v>1003</v>
      </c>
      <c r="D648">
        <v>0</v>
      </c>
      <c r="E648">
        <v>1602</v>
      </c>
      <c r="F648">
        <v>988</v>
      </c>
      <c r="G648">
        <v>685</v>
      </c>
      <c r="H648">
        <v>0</v>
      </c>
      <c r="I648">
        <v>0</v>
      </c>
      <c r="J648">
        <v>0</v>
      </c>
      <c r="K648">
        <v>2</v>
      </c>
      <c r="L648">
        <v>2</v>
      </c>
      <c r="M648">
        <v>55</v>
      </c>
      <c r="N648">
        <v>55</v>
      </c>
      <c r="O648">
        <v>60</v>
      </c>
      <c r="P648">
        <v>46</v>
      </c>
      <c r="Q648">
        <v>60</v>
      </c>
      <c r="R648">
        <v>18</v>
      </c>
      <c r="S648">
        <v>25</v>
      </c>
      <c r="T648">
        <v>84</v>
      </c>
      <c r="U648">
        <v>10</v>
      </c>
      <c r="V648">
        <v>50</v>
      </c>
      <c r="W648">
        <v>3</v>
      </c>
      <c r="X648">
        <v>10</v>
      </c>
      <c r="Y648">
        <v>0</v>
      </c>
      <c r="Z648">
        <v>125</v>
      </c>
      <c r="AA648">
        <v>175</v>
      </c>
      <c r="AB648">
        <v>60</v>
      </c>
      <c r="AC648">
        <v>60</v>
      </c>
      <c r="AD648">
        <v>25</v>
      </c>
      <c r="AE648">
        <v>46</v>
      </c>
      <c r="AF648">
        <v>10</v>
      </c>
      <c r="AG648">
        <v>18</v>
      </c>
      <c r="AH648">
        <v>84</v>
      </c>
      <c r="AI648">
        <v>50</v>
      </c>
      <c r="AJ648">
        <v>0</v>
      </c>
      <c r="AK648">
        <v>0</v>
      </c>
      <c r="AL648">
        <v>0</v>
      </c>
      <c r="AM648">
        <v>-1</v>
      </c>
      <c r="AN648">
        <v>0</v>
      </c>
      <c r="AO648">
        <v>0</v>
      </c>
      <c r="AP648">
        <v>0</v>
      </c>
      <c r="AQ648">
        <v>0</v>
      </c>
      <c r="AR648">
        <f t="shared" si="1592"/>
        <v>0</v>
      </c>
      <c r="AS648">
        <f>IF(AND(IFERROR(VLOOKUP(AJ648,Equip!$A:$N,13,FALSE),0)&gt;=5,IFERROR(VLOOKUP(AJ648,Equip!$A:$N,13,FALSE),0)&lt;=9),INT(VLOOKUP(AJ648,Equip!$A:$N,6,FALSE)*SQRT(AN648)),0)</f>
        <v>0</v>
      </c>
      <c r="AT648">
        <f>IF(AND(IFERROR(VLOOKUP(AK648,Equip!$A:$N,13,FALSE),0)&gt;=5,IFERROR(VLOOKUP(AK648,Equip!$A:$N,13,FALSE),0)&lt;=9),INT(VLOOKUP(AK648,Equip!$A:$N,6,FALSE)*SQRT(AO648)),0)</f>
        <v>0</v>
      </c>
      <c r="AU648">
        <f>IF(AND(IFERROR(VLOOKUP(AL648,Equip!$A:$N,13,FALSE),0)&gt;=5,IFERROR(VLOOKUP(AL648,Equip!$A:$N,13,FALSE),0)&lt;=9),INT(VLOOKUP(AL648,Equip!$A:$N,6,FALSE)*SQRT(AP648)),0)</f>
        <v>0</v>
      </c>
      <c r="AV648">
        <f>IF(AND(IFERROR(VLOOKUP(AM648,Equip!$A:$N,13,FALSE),0)&gt;=5,IFERROR(VLOOKUP(AM648,Equip!$A:$N,13,FALSE),0)&lt;=9),INT(VLOOKUP(AM648,Equip!$A:$N,6,FALSE)*SQRT(AQ648)),0)</f>
        <v>0</v>
      </c>
      <c r="AW648">
        <f t="shared" si="1582"/>
        <v>0</v>
      </c>
      <c r="AX648">
        <f t="shared" si="1583"/>
        <v>398</v>
      </c>
    </row>
    <row r="649" spans="1:50">
      <c r="A649">
        <v>686</v>
      </c>
      <c r="B649" t="s">
        <v>1004</v>
      </c>
      <c r="C649" t="s">
        <v>1004</v>
      </c>
      <c r="D649">
        <v>0</v>
      </c>
      <c r="E649">
        <v>2058</v>
      </c>
      <c r="F649">
        <v>1128</v>
      </c>
      <c r="G649">
        <v>686</v>
      </c>
      <c r="H649">
        <v>0</v>
      </c>
      <c r="I649">
        <v>0</v>
      </c>
      <c r="J649">
        <v>0</v>
      </c>
      <c r="K649">
        <v>3</v>
      </c>
      <c r="L649">
        <v>4</v>
      </c>
      <c r="M649">
        <v>79</v>
      </c>
      <c r="N649">
        <v>79</v>
      </c>
      <c r="O649">
        <v>160</v>
      </c>
      <c r="P649">
        <v>105</v>
      </c>
      <c r="Q649">
        <v>60</v>
      </c>
      <c r="R649">
        <v>39</v>
      </c>
      <c r="S649">
        <v>50</v>
      </c>
      <c r="T649">
        <v>0</v>
      </c>
      <c r="U649">
        <v>10</v>
      </c>
      <c r="V649">
        <v>70</v>
      </c>
      <c r="W649">
        <v>3</v>
      </c>
      <c r="X649">
        <v>15</v>
      </c>
      <c r="Y649">
        <v>0</v>
      </c>
      <c r="Z649">
        <v>175</v>
      </c>
      <c r="AA649">
        <v>200</v>
      </c>
      <c r="AB649">
        <v>160</v>
      </c>
      <c r="AC649">
        <v>60</v>
      </c>
      <c r="AD649">
        <v>50</v>
      </c>
      <c r="AE649">
        <v>105</v>
      </c>
      <c r="AF649">
        <v>15</v>
      </c>
      <c r="AG649">
        <v>39</v>
      </c>
      <c r="AH649">
        <v>0</v>
      </c>
      <c r="AI649">
        <v>70</v>
      </c>
      <c r="AJ649">
        <v>0</v>
      </c>
      <c r="AK649">
        <v>0</v>
      </c>
      <c r="AL649">
        <v>0</v>
      </c>
      <c r="AM649">
        <v>-1</v>
      </c>
      <c r="AN649">
        <v>0</v>
      </c>
      <c r="AO649">
        <v>0</v>
      </c>
      <c r="AP649">
        <v>0</v>
      </c>
      <c r="AQ649">
        <v>0</v>
      </c>
      <c r="AR649">
        <f t="shared" si="1592"/>
        <v>0</v>
      </c>
      <c r="AS649">
        <f>IF(AND(IFERROR(VLOOKUP(AJ649,Equip!$A:$N,13,FALSE),0)&gt;=5,IFERROR(VLOOKUP(AJ649,Equip!$A:$N,13,FALSE),0)&lt;=9),INT(VLOOKUP(AJ649,Equip!$A:$N,6,FALSE)*SQRT(AN649)),0)</f>
        <v>0</v>
      </c>
      <c r="AT649">
        <f>IF(AND(IFERROR(VLOOKUP(AK649,Equip!$A:$N,13,FALSE),0)&gt;=5,IFERROR(VLOOKUP(AK649,Equip!$A:$N,13,FALSE),0)&lt;=9),INT(VLOOKUP(AK649,Equip!$A:$N,6,FALSE)*SQRT(AO649)),0)</f>
        <v>0</v>
      </c>
      <c r="AU649">
        <f>IF(AND(IFERROR(VLOOKUP(AL649,Equip!$A:$N,13,FALSE),0)&gt;=5,IFERROR(VLOOKUP(AL649,Equip!$A:$N,13,FALSE),0)&lt;=9),INT(VLOOKUP(AL649,Equip!$A:$N,6,FALSE)*SQRT(AP649)),0)</f>
        <v>0</v>
      </c>
      <c r="AV649">
        <f>IF(AND(IFERROR(VLOOKUP(AM649,Equip!$A:$N,13,FALSE),0)&gt;=5,IFERROR(VLOOKUP(AM649,Equip!$A:$N,13,FALSE),0)&lt;=9),INT(VLOOKUP(AM649,Equip!$A:$N,6,FALSE)*SQRT(AQ649)),0)</f>
        <v>0</v>
      </c>
      <c r="AW649">
        <f t="shared" si="1582"/>
        <v>0</v>
      </c>
      <c r="AX649">
        <f t="shared" si="1583"/>
        <v>563</v>
      </c>
    </row>
    <row r="650" spans="1:50">
      <c r="A650">
        <v>687</v>
      </c>
      <c r="B650" t="s">
        <v>1004</v>
      </c>
      <c r="C650" t="s">
        <v>1004</v>
      </c>
      <c r="D650">
        <v>0</v>
      </c>
      <c r="E650">
        <v>2058</v>
      </c>
      <c r="F650">
        <v>1128</v>
      </c>
      <c r="G650">
        <v>687</v>
      </c>
      <c r="H650">
        <v>0</v>
      </c>
      <c r="I650">
        <v>0</v>
      </c>
      <c r="J650">
        <v>0</v>
      </c>
      <c r="K650">
        <v>3</v>
      </c>
      <c r="L650">
        <v>4</v>
      </c>
      <c r="M650">
        <v>79</v>
      </c>
      <c r="N650">
        <v>79</v>
      </c>
      <c r="O650">
        <v>98</v>
      </c>
      <c r="P650">
        <v>87</v>
      </c>
      <c r="Q650">
        <v>60</v>
      </c>
      <c r="R650">
        <v>29</v>
      </c>
      <c r="S650">
        <v>45</v>
      </c>
      <c r="T650">
        <v>0</v>
      </c>
      <c r="U650">
        <v>10</v>
      </c>
      <c r="V650">
        <v>70</v>
      </c>
      <c r="W650">
        <v>3</v>
      </c>
      <c r="X650">
        <v>15</v>
      </c>
      <c r="Y650">
        <v>0</v>
      </c>
      <c r="Z650">
        <v>175</v>
      </c>
      <c r="AA650">
        <v>200</v>
      </c>
      <c r="AB650">
        <v>98</v>
      </c>
      <c r="AC650">
        <v>60</v>
      </c>
      <c r="AD650">
        <v>45</v>
      </c>
      <c r="AE650">
        <v>87</v>
      </c>
      <c r="AF650">
        <v>15</v>
      </c>
      <c r="AG650">
        <v>29</v>
      </c>
      <c r="AH650">
        <v>0</v>
      </c>
      <c r="AI650">
        <v>70</v>
      </c>
      <c r="AJ650">
        <v>0</v>
      </c>
      <c r="AK650">
        <v>0</v>
      </c>
      <c r="AL650">
        <v>0</v>
      </c>
      <c r="AM650">
        <v>-1</v>
      </c>
      <c r="AN650">
        <v>0</v>
      </c>
      <c r="AO650">
        <v>0</v>
      </c>
      <c r="AP650">
        <v>0</v>
      </c>
      <c r="AQ650">
        <v>0</v>
      </c>
      <c r="AR650">
        <f t="shared" si="1592"/>
        <v>0</v>
      </c>
      <c r="AS650">
        <f>IF(AND(IFERROR(VLOOKUP(AJ650,Equip!$A:$N,13,FALSE),0)&gt;=5,IFERROR(VLOOKUP(AJ650,Equip!$A:$N,13,FALSE),0)&lt;=9),INT(VLOOKUP(AJ650,Equip!$A:$N,6,FALSE)*SQRT(AN650)),0)</f>
        <v>0</v>
      </c>
      <c r="AT650">
        <f>IF(AND(IFERROR(VLOOKUP(AK650,Equip!$A:$N,13,FALSE),0)&gt;=5,IFERROR(VLOOKUP(AK650,Equip!$A:$N,13,FALSE),0)&lt;=9),INT(VLOOKUP(AK650,Equip!$A:$N,6,FALSE)*SQRT(AO650)),0)</f>
        <v>0</v>
      </c>
      <c r="AU650">
        <f>IF(AND(IFERROR(VLOOKUP(AL650,Equip!$A:$N,13,FALSE),0)&gt;=5,IFERROR(VLOOKUP(AL650,Equip!$A:$N,13,FALSE),0)&lt;=9),INT(VLOOKUP(AL650,Equip!$A:$N,6,FALSE)*SQRT(AP650)),0)</f>
        <v>0</v>
      </c>
      <c r="AV650">
        <f>IF(AND(IFERROR(VLOOKUP(AM650,Equip!$A:$N,13,FALSE),0)&gt;=5,IFERROR(VLOOKUP(AM650,Equip!$A:$N,13,FALSE),0)&lt;=9),INT(VLOOKUP(AM650,Equip!$A:$N,6,FALSE)*SQRT(AQ650)),0)</f>
        <v>0</v>
      </c>
      <c r="AW650">
        <f t="shared" si="1582"/>
        <v>0</v>
      </c>
      <c r="AX650">
        <f t="shared" si="1583"/>
        <v>468</v>
      </c>
    </row>
    <row r="651" spans="1:50">
      <c r="A651">
        <v>688</v>
      </c>
      <c r="B651" t="s">
        <v>1005</v>
      </c>
      <c r="C651" t="s">
        <v>1005</v>
      </c>
      <c r="D651">
        <v>0</v>
      </c>
      <c r="E651">
        <v>2428</v>
      </c>
      <c r="F651">
        <v>1319</v>
      </c>
      <c r="G651">
        <v>688</v>
      </c>
      <c r="H651">
        <v>0</v>
      </c>
      <c r="I651">
        <v>0</v>
      </c>
      <c r="J651">
        <v>0</v>
      </c>
      <c r="K651">
        <v>8</v>
      </c>
      <c r="L651">
        <v>7</v>
      </c>
      <c r="M651">
        <v>102</v>
      </c>
      <c r="N651">
        <v>102</v>
      </c>
      <c r="O651">
        <v>200</v>
      </c>
      <c r="P651">
        <v>130</v>
      </c>
      <c r="Q651">
        <v>0</v>
      </c>
      <c r="R651">
        <v>37</v>
      </c>
      <c r="S651">
        <v>60</v>
      </c>
      <c r="T651">
        <v>0</v>
      </c>
      <c r="U651">
        <v>10</v>
      </c>
      <c r="V651">
        <v>80</v>
      </c>
      <c r="W651">
        <v>4</v>
      </c>
      <c r="X651">
        <v>20</v>
      </c>
      <c r="Y651">
        <v>0</v>
      </c>
      <c r="Z651">
        <v>200</v>
      </c>
      <c r="AA651">
        <v>275</v>
      </c>
      <c r="AB651">
        <v>200</v>
      </c>
      <c r="AC651">
        <v>0</v>
      </c>
      <c r="AD651">
        <v>60</v>
      </c>
      <c r="AE651">
        <v>130</v>
      </c>
      <c r="AF651">
        <v>20</v>
      </c>
      <c r="AG651">
        <v>37</v>
      </c>
      <c r="AH651">
        <v>0</v>
      </c>
      <c r="AI651">
        <v>80</v>
      </c>
      <c r="AJ651">
        <v>0</v>
      </c>
      <c r="AK651">
        <v>0</v>
      </c>
      <c r="AL651">
        <v>0</v>
      </c>
      <c r="AM651">
        <v>0</v>
      </c>
      <c r="AN651">
        <v>0</v>
      </c>
      <c r="AO651">
        <v>0</v>
      </c>
      <c r="AP651">
        <v>0</v>
      </c>
      <c r="AQ651">
        <v>0</v>
      </c>
      <c r="AR651">
        <f t="shared" si="1592"/>
        <v>0</v>
      </c>
      <c r="AS651">
        <f>IF(AND(IFERROR(VLOOKUP(AJ651,Equip!$A:$N,13,FALSE),0)&gt;=5,IFERROR(VLOOKUP(AJ651,Equip!$A:$N,13,FALSE),0)&lt;=9),INT(VLOOKUP(AJ651,Equip!$A:$N,6,FALSE)*SQRT(AN651)),0)</f>
        <v>0</v>
      </c>
      <c r="AT651">
        <f>IF(AND(IFERROR(VLOOKUP(AK651,Equip!$A:$N,13,FALSE),0)&gt;=5,IFERROR(VLOOKUP(AK651,Equip!$A:$N,13,FALSE),0)&lt;=9),INT(VLOOKUP(AK651,Equip!$A:$N,6,FALSE)*SQRT(AO651)),0)</f>
        <v>0</v>
      </c>
      <c r="AU651">
        <f>IF(AND(IFERROR(VLOOKUP(AL651,Equip!$A:$N,13,FALSE),0)&gt;=5,IFERROR(VLOOKUP(AL651,Equip!$A:$N,13,FALSE),0)&lt;=9),INT(VLOOKUP(AL651,Equip!$A:$N,6,FALSE)*SQRT(AP651)),0)</f>
        <v>0</v>
      </c>
      <c r="AV651">
        <f>IF(AND(IFERROR(VLOOKUP(AM651,Equip!$A:$N,13,FALSE),0)&gt;=5,IFERROR(VLOOKUP(AM651,Equip!$A:$N,13,FALSE),0)&lt;=9),INT(VLOOKUP(AM651,Equip!$A:$N,6,FALSE)*SQRT(AQ651)),0)</f>
        <v>0</v>
      </c>
      <c r="AW651">
        <f t="shared" si="1582"/>
        <v>0</v>
      </c>
      <c r="AX651">
        <f t="shared" si="1583"/>
        <v>609</v>
      </c>
    </row>
    <row r="652" spans="1:50">
      <c r="A652">
        <v>689</v>
      </c>
      <c r="B652" t="s">
        <v>1005</v>
      </c>
      <c r="C652" t="s">
        <v>1005</v>
      </c>
      <c r="D652">
        <v>0</v>
      </c>
      <c r="E652">
        <v>2428</v>
      </c>
      <c r="F652">
        <v>1319</v>
      </c>
      <c r="G652">
        <v>689</v>
      </c>
      <c r="H652">
        <v>0</v>
      </c>
      <c r="I652">
        <v>0</v>
      </c>
      <c r="J652">
        <v>0</v>
      </c>
      <c r="K652">
        <v>8</v>
      </c>
      <c r="L652">
        <v>7</v>
      </c>
      <c r="M652">
        <v>102</v>
      </c>
      <c r="N652">
        <v>102</v>
      </c>
      <c r="O652">
        <v>150</v>
      </c>
      <c r="P652">
        <v>130</v>
      </c>
      <c r="Q652">
        <v>0</v>
      </c>
      <c r="R652">
        <v>27</v>
      </c>
      <c r="S652">
        <v>55</v>
      </c>
      <c r="T652">
        <v>0</v>
      </c>
      <c r="U652">
        <v>10</v>
      </c>
      <c r="V652">
        <v>80</v>
      </c>
      <c r="W652">
        <v>4</v>
      </c>
      <c r="X652">
        <v>20</v>
      </c>
      <c r="Y652">
        <v>0</v>
      </c>
      <c r="Z652">
        <v>200</v>
      </c>
      <c r="AA652">
        <v>275</v>
      </c>
      <c r="AB652">
        <v>150</v>
      </c>
      <c r="AC652">
        <v>0</v>
      </c>
      <c r="AD652">
        <v>55</v>
      </c>
      <c r="AE652">
        <v>100</v>
      </c>
      <c r="AF652">
        <v>20</v>
      </c>
      <c r="AG652">
        <v>27</v>
      </c>
      <c r="AH652">
        <v>0</v>
      </c>
      <c r="AI652">
        <v>80</v>
      </c>
      <c r="AJ652">
        <v>0</v>
      </c>
      <c r="AK652">
        <v>0</v>
      </c>
      <c r="AL652">
        <v>0</v>
      </c>
      <c r="AM652">
        <v>0</v>
      </c>
      <c r="AN652">
        <v>0</v>
      </c>
      <c r="AO652">
        <v>0</v>
      </c>
      <c r="AP652">
        <v>0</v>
      </c>
      <c r="AQ652">
        <v>0</v>
      </c>
      <c r="AR652">
        <f t="shared" si="1592"/>
        <v>0</v>
      </c>
      <c r="AS652">
        <f>IF(AND(IFERROR(VLOOKUP(AJ652,Equip!$A:$N,13,FALSE),0)&gt;=5,IFERROR(VLOOKUP(AJ652,Equip!$A:$N,13,FALSE),0)&lt;=9),INT(VLOOKUP(AJ652,Equip!$A:$N,6,FALSE)*SQRT(AN652)),0)</f>
        <v>0</v>
      </c>
      <c r="AT652">
        <f>IF(AND(IFERROR(VLOOKUP(AK652,Equip!$A:$N,13,FALSE),0)&gt;=5,IFERROR(VLOOKUP(AK652,Equip!$A:$N,13,FALSE),0)&lt;=9),INT(VLOOKUP(AK652,Equip!$A:$N,6,FALSE)*SQRT(AO652)),0)</f>
        <v>0</v>
      </c>
      <c r="AU652">
        <f>IF(AND(IFERROR(VLOOKUP(AL652,Equip!$A:$N,13,FALSE),0)&gt;=5,IFERROR(VLOOKUP(AL652,Equip!$A:$N,13,FALSE),0)&lt;=9),INT(VLOOKUP(AL652,Equip!$A:$N,6,FALSE)*SQRT(AP652)),0)</f>
        <v>0</v>
      </c>
      <c r="AV652">
        <f>IF(AND(IFERROR(VLOOKUP(AM652,Equip!$A:$N,13,FALSE),0)&gt;=5,IFERROR(VLOOKUP(AM652,Equip!$A:$N,13,FALSE),0)&lt;=9),INT(VLOOKUP(AM652,Equip!$A:$N,6,FALSE)*SQRT(AQ652)),0)</f>
        <v>0</v>
      </c>
      <c r="AW652">
        <f t="shared" si="1582"/>
        <v>0</v>
      </c>
      <c r="AX652">
        <f t="shared" si="1583"/>
        <v>514</v>
      </c>
    </row>
    <row r="653" spans="1:50">
      <c r="A653">
        <v>690</v>
      </c>
      <c r="B653" t="s">
        <v>1006</v>
      </c>
      <c r="C653" t="s">
        <v>1006</v>
      </c>
      <c r="D653">
        <v>0</v>
      </c>
      <c r="E653">
        <v>2441</v>
      </c>
      <c r="F653">
        <v>1330</v>
      </c>
      <c r="G653">
        <v>690</v>
      </c>
      <c r="H653">
        <v>0</v>
      </c>
      <c r="I653">
        <v>0</v>
      </c>
      <c r="J653">
        <v>0</v>
      </c>
      <c r="K653">
        <v>8</v>
      </c>
      <c r="L653">
        <v>7</v>
      </c>
      <c r="M653">
        <v>142</v>
      </c>
      <c r="N653">
        <v>142</v>
      </c>
      <c r="O653">
        <v>280</v>
      </c>
      <c r="P653">
        <v>150</v>
      </c>
      <c r="Q653">
        <v>0</v>
      </c>
      <c r="R653">
        <v>50</v>
      </c>
      <c r="S653">
        <v>70</v>
      </c>
      <c r="T653">
        <v>0</v>
      </c>
      <c r="U653">
        <v>10</v>
      </c>
      <c r="V653">
        <v>90</v>
      </c>
      <c r="W653">
        <v>4</v>
      </c>
      <c r="X653">
        <v>15</v>
      </c>
      <c r="Y653">
        <v>0</v>
      </c>
      <c r="Z653">
        <v>245</v>
      </c>
      <c r="AA653">
        <v>300</v>
      </c>
      <c r="AB653">
        <v>280</v>
      </c>
      <c r="AC653">
        <v>0</v>
      </c>
      <c r="AD653">
        <v>70</v>
      </c>
      <c r="AE653">
        <v>150</v>
      </c>
      <c r="AF653">
        <v>15</v>
      </c>
      <c r="AG653">
        <v>50</v>
      </c>
      <c r="AH653">
        <v>0</v>
      </c>
      <c r="AI653">
        <v>90</v>
      </c>
      <c r="AJ653">
        <v>0</v>
      </c>
      <c r="AK653">
        <v>0</v>
      </c>
      <c r="AL653">
        <v>0</v>
      </c>
      <c r="AM653">
        <v>0</v>
      </c>
      <c r="AN653">
        <v>0</v>
      </c>
      <c r="AO653">
        <v>0</v>
      </c>
      <c r="AP653">
        <v>0</v>
      </c>
      <c r="AQ653">
        <v>0</v>
      </c>
      <c r="AR653">
        <f t="shared" si="1592"/>
        <v>0</v>
      </c>
      <c r="AS653">
        <f>IF(AND(IFERROR(VLOOKUP(AJ653,Equip!$A:$N,13,FALSE),0)&gt;=5,IFERROR(VLOOKUP(AJ653,Equip!$A:$N,13,FALSE),0)&lt;=9),INT(VLOOKUP(AJ653,Equip!$A:$N,6,FALSE)*SQRT(AN653)),0)</f>
        <v>0</v>
      </c>
      <c r="AT653">
        <f>IF(AND(IFERROR(VLOOKUP(AK653,Equip!$A:$N,13,FALSE),0)&gt;=5,IFERROR(VLOOKUP(AK653,Equip!$A:$N,13,FALSE),0)&lt;=9),INT(VLOOKUP(AK653,Equip!$A:$N,6,FALSE)*SQRT(AO653)),0)</f>
        <v>0</v>
      </c>
      <c r="AU653">
        <f>IF(AND(IFERROR(VLOOKUP(AL653,Equip!$A:$N,13,FALSE),0)&gt;=5,IFERROR(VLOOKUP(AL653,Equip!$A:$N,13,FALSE),0)&lt;=9),INT(VLOOKUP(AL653,Equip!$A:$N,6,FALSE)*SQRT(AP653)),0)</f>
        <v>0</v>
      </c>
      <c r="AV653">
        <f>IF(AND(IFERROR(VLOOKUP(AM653,Equip!$A:$N,13,FALSE),0)&gt;=5,IFERROR(VLOOKUP(AM653,Equip!$A:$N,13,FALSE),0)&lt;=9),INT(VLOOKUP(AM653,Equip!$A:$N,6,FALSE)*SQRT(AQ653)),0)</f>
        <v>0</v>
      </c>
      <c r="AW653">
        <f t="shared" si="1582"/>
        <v>0</v>
      </c>
      <c r="AX653">
        <f t="shared" si="1583"/>
        <v>782</v>
      </c>
    </row>
    <row r="654" spans="1:50">
      <c r="A654">
        <v>691</v>
      </c>
      <c r="B654" t="s">
        <v>1006</v>
      </c>
      <c r="C654" t="s">
        <v>1006</v>
      </c>
      <c r="D654">
        <v>0</v>
      </c>
      <c r="E654">
        <v>2441</v>
      </c>
      <c r="F654">
        <v>1330</v>
      </c>
      <c r="G654">
        <v>691</v>
      </c>
      <c r="H654">
        <v>0</v>
      </c>
      <c r="I654">
        <v>0</v>
      </c>
      <c r="J654">
        <v>0</v>
      </c>
      <c r="K654">
        <v>8</v>
      </c>
      <c r="L654">
        <v>7</v>
      </c>
      <c r="M654">
        <v>142</v>
      </c>
      <c r="N654">
        <v>142</v>
      </c>
      <c r="O654">
        <v>180</v>
      </c>
      <c r="P654">
        <v>120</v>
      </c>
      <c r="Q654">
        <v>0</v>
      </c>
      <c r="R654">
        <v>40</v>
      </c>
      <c r="S654">
        <v>60</v>
      </c>
      <c r="T654">
        <v>0</v>
      </c>
      <c r="U654">
        <v>10</v>
      </c>
      <c r="V654">
        <v>90</v>
      </c>
      <c r="W654">
        <v>4</v>
      </c>
      <c r="X654">
        <v>15</v>
      </c>
      <c r="Y654">
        <v>0</v>
      </c>
      <c r="Z654">
        <v>245</v>
      </c>
      <c r="AA654">
        <v>300</v>
      </c>
      <c r="AB654">
        <v>180</v>
      </c>
      <c r="AC654">
        <v>0</v>
      </c>
      <c r="AD654">
        <v>60</v>
      </c>
      <c r="AE654">
        <v>120</v>
      </c>
      <c r="AF654">
        <v>15</v>
      </c>
      <c r="AG654">
        <v>40</v>
      </c>
      <c r="AH654">
        <v>0</v>
      </c>
      <c r="AI654">
        <v>90</v>
      </c>
      <c r="AJ654">
        <v>0</v>
      </c>
      <c r="AK654">
        <v>0</v>
      </c>
      <c r="AL654">
        <v>0</v>
      </c>
      <c r="AM654">
        <v>0</v>
      </c>
      <c r="AN654">
        <v>0</v>
      </c>
      <c r="AO654">
        <v>0</v>
      </c>
      <c r="AP654">
        <v>0</v>
      </c>
      <c r="AQ654">
        <v>0</v>
      </c>
      <c r="AR654">
        <f t="shared" si="1592"/>
        <v>0</v>
      </c>
      <c r="AS654">
        <f>IF(AND(IFERROR(VLOOKUP(AJ654,Equip!$A:$N,13,FALSE),0)&gt;=5,IFERROR(VLOOKUP(AJ654,Equip!$A:$N,13,FALSE),0)&lt;=9),INT(VLOOKUP(AJ654,Equip!$A:$N,6,FALSE)*SQRT(AN654)),0)</f>
        <v>0</v>
      </c>
      <c r="AT654">
        <f>IF(AND(IFERROR(VLOOKUP(AK654,Equip!$A:$N,13,FALSE),0)&gt;=5,IFERROR(VLOOKUP(AK654,Equip!$A:$N,13,FALSE),0)&lt;=9),INT(VLOOKUP(AK654,Equip!$A:$N,6,FALSE)*SQRT(AO654)),0)</f>
        <v>0</v>
      </c>
      <c r="AU654">
        <f>IF(AND(IFERROR(VLOOKUP(AL654,Equip!$A:$N,13,FALSE),0)&gt;=5,IFERROR(VLOOKUP(AL654,Equip!$A:$N,13,FALSE),0)&lt;=9),INT(VLOOKUP(AL654,Equip!$A:$N,6,FALSE)*SQRT(AP654)),0)</f>
        <v>0</v>
      </c>
      <c r="AV654">
        <f>IF(AND(IFERROR(VLOOKUP(AM654,Equip!$A:$N,13,FALSE),0)&gt;=5,IFERROR(VLOOKUP(AM654,Equip!$A:$N,13,FALSE),0)&lt;=9),INT(VLOOKUP(AM654,Equip!$A:$N,6,FALSE)*SQRT(AQ654)),0)</f>
        <v>0</v>
      </c>
      <c r="AW654">
        <f t="shared" si="1582"/>
        <v>0</v>
      </c>
      <c r="AX654">
        <f t="shared" si="1583"/>
        <v>632</v>
      </c>
    </row>
    <row r="656" spans="1:50">
      <c r="A656">
        <v>692</v>
      </c>
      <c r="B656" t="s">
        <v>1007</v>
      </c>
      <c r="C656" t="s">
        <v>1007</v>
      </c>
      <c r="D656">
        <v>0</v>
      </c>
      <c r="E656">
        <v>0</v>
      </c>
      <c r="F656">
        <v>0</v>
      </c>
      <c r="G656">
        <v>692</v>
      </c>
      <c r="H656">
        <v>0</v>
      </c>
      <c r="I656">
        <v>0</v>
      </c>
      <c r="J656">
        <v>0</v>
      </c>
      <c r="K656">
        <v>1</v>
      </c>
      <c r="L656">
        <v>1</v>
      </c>
      <c r="M656">
        <v>195</v>
      </c>
      <c r="N656">
        <v>195</v>
      </c>
      <c r="O656">
        <v>130</v>
      </c>
      <c r="P656">
        <v>167</v>
      </c>
      <c r="Q656">
        <v>140</v>
      </c>
      <c r="R656">
        <v>89</v>
      </c>
      <c r="S656">
        <v>90</v>
      </c>
      <c r="T656">
        <v>59</v>
      </c>
      <c r="U656">
        <v>10</v>
      </c>
      <c r="V656">
        <v>39</v>
      </c>
      <c r="W656">
        <v>1</v>
      </c>
      <c r="X656">
        <v>64</v>
      </c>
      <c r="Y656">
        <v>15</v>
      </c>
      <c r="Z656">
        <v>0</v>
      </c>
      <c r="AA656">
        <v>0</v>
      </c>
      <c r="AB656">
        <v>130</v>
      </c>
      <c r="AC656">
        <v>140</v>
      </c>
      <c r="AD656">
        <v>90</v>
      </c>
      <c r="AE656">
        <v>167</v>
      </c>
      <c r="AF656">
        <v>64</v>
      </c>
      <c r="AG656">
        <v>89</v>
      </c>
      <c r="AH656">
        <v>59</v>
      </c>
      <c r="AI656">
        <v>39</v>
      </c>
      <c r="AJ656">
        <v>502</v>
      </c>
      <c r="AK656">
        <v>502</v>
      </c>
      <c r="AL656">
        <v>541</v>
      </c>
      <c r="AM656">
        <v>559</v>
      </c>
      <c r="AN656">
        <v>0</v>
      </c>
      <c r="AO656">
        <v>0</v>
      </c>
      <c r="AP656">
        <v>0</v>
      </c>
      <c r="AQ656">
        <v>0</v>
      </c>
      <c r="AR656">
        <f t="shared" si="1592"/>
        <v>0</v>
      </c>
      <c r="AS656">
        <f>IF(AND(IFERROR(VLOOKUP(AJ656,Equip!$A:$N,13,FALSE),0)&gt;=5,IFERROR(VLOOKUP(AJ656,Equip!$A:$N,13,FALSE),0)&lt;=9),INT(VLOOKUP(AJ656,Equip!$A:$N,6,FALSE)*SQRT(AN656)),0)</f>
        <v>0</v>
      </c>
      <c r="AT656">
        <f>IF(AND(IFERROR(VLOOKUP(AK656,Equip!$A:$N,13,FALSE),0)&gt;=5,IFERROR(VLOOKUP(AK656,Equip!$A:$N,13,FALSE),0)&lt;=9),INT(VLOOKUP(AK656,Equip!$A:$N,6,FALSE)*SQRT(AO656)),0)</f>
        <v>0</v>
      </c>
      <c r="AU656">
        <f>IF(AND(IFERROR(VLOOKUP(AL656,Equip!$A:$N,13,FALSE),0)&gt;=5,IFERROR(VLOOKUP(AL656,Equip!$A:$N,13,FALSE),0)&lt;=9),INT(VLOOKUP(AL656,Equip!$A:$N,6,FALSE)*SQRT(AP656)),0)</f>
        <v>0</v>
      </c>
      <c r="AV656">
        <f>IF(AND(IFERROR(VLOOKUP(AM656,Equip!$A:$N,13,FALSE),0)&gt;=5,IFERROR(VLOOKUP(AM656,Equip!$A:$N,13,FALSE),0)&lt;=9),INT(VLOOKUP(AM656,Equip!$A:$N,6,FALSE)*SQRT(AQ656)),0)</f>
        <v>0</v>
      </c>
      <c r="AW656">
        <f t="shared" si="1582"/>
        <v>0</v>
      </c>
      <c r="AX656">
        <f t="shared" si="1583"/>
        <v>909</v>
      </c>
    </row>
    <row r="658" spans="1:51">
      <c r="A658">
        <v>701</v>
      </c>
      <c r="B658" t="s">
        <v>730</v>
      </c>
      <c r="C658" t="s">
        <v>731</v>
      </c>
      <c r="D658">
        <v>0</v>
      </c>
      <c r="E658">
        <v>2478</v>
      </c>
      <c r="F658">
        <v>1361</v>
      </c>
      <c r="G658">
        <v>701</v>
      </c>
      <c r="H658">
        <v>2</v>
      </c>
      <c r="I658">
        <v>5</v>
      </c>
      <c r="J658">
        <v>0</v>
      </c>
      <c r="K658">
        <v>8</v>
      </c>
      <c r="L658">
        <v>8</v>
      </c>
      <c r="M658">
        <v>78</v>
      </c>
      <c r="N658">
        <v>78</v>
      </c>
      <c r="O658">
        <v>72</v>
      </c>
      <c r="P658">
        <v>70</v>
      </c>
      <c r="Q658">
        <v>0</v>
      </c>
      <c r="R658">
        <v>35</v>
      </c>
      <c r="S658">
        <v>33</v>
      </c>
      <c r="T658">
        <v>0</v>
      </c>
      <c r="U658">
        <v>10</v>
      </c>
      <c r="V658">
        <v>13</v>
      </c>
      <c r="W658">
        <v>3</v>
      </c>
      <c r="X658">
        <v>5</v>
      </c>
      <c r="Y658">
        <v>0</v>
      </c>
      <c r="Z658">
        <v>110</v>
      </c>
      <c r="AA658">
        <v>110</v>
      </c>
      <c r="AB658">
        <v>92</v>
      </c>
      <c r="AC658">
        <v>0</v>
      </c>
      <c r="AD658">
        <v>83</v>
      </c>
      <c r="AE658">
        <v>84</v>
      </c>
      <c r="AF658">
        <v>34</v>
      </c>
      <c r="AG658">
        <v>68</v>
      </c>
      <c r="AH658">
        <v>0</v>
      </c>
      <c r="AI658">
        <v>43</v>
      </c>
      <c r="AJ658">
        <v>190</v>
      </c>
      <c r="AK658">
        <v>722</v>
      </c>
      <c r="AL658">
        <v>768</v>
      </c>
      <c r="AM658">
        <v>0</v>
      </c>
      <c r="AN658">
        <v>3</v>
      </c>
      <c r="AO658">
        <v>3</v>
      </c>
      <c r="AP658">
        <v>3</v>
      </c>
      <c r="AQ658">
        <v>3</v>
      </c>
      <c r="AR658">
        <f t="shared" si="1592"/>
        <v>12</v>
      </c>
      <c r="AS658">
        <f>IF(AND(IFERROR(VLOOKUP(AJ658,Equip!$A:$N,13,FALSE),0)&gt;=5,IFERROR(VLOOKUP(AJ658,Equip!$A:$N,13,FALSE),0)&lt;=9),INT(VLOOKUP(AJ658,Equip!$A:$N,6,FALSE)*SQRT(AN658)),0)</f>
        <v>0</v>
      </c>
      <c r="AT658">
        <f>IF(AND(IFERROR(VLOOKUP(AK658,Equip!$A:$N,13,FALSE),0)&gt;=5,IFERROR(VLOOKUP(AK658,Equip!$A:$N,13,FALSE),0)&lt;=9),INT(VLOOKUP(AK658,Equip!$A:$N,6,FALSE)*SQRT(AO658)),0)</f>
        <v>0</v>
      </c>
      <c r="AU658">
        <f>IF(AND(IFERROR(VLOOKUP(AL658,Equip!$A:$N,13,FALSE),0)&gt;=5,IFERROR(VLOOKUP(AL658,Equip!$A:$N,13,FALSE),0)&lt;=9),INT(VLOOKUP(AL658,Equip!$A:$N,6,FALSE)*SQRT(AP658)),0)</f>
        <v>0</v>
      </c>
      <c r="AV658">
        <f>IF(AND(IFERROR(VLOOKUP(AM658,Equip!$A:$N,13,FALSE),0)&gt;=5,IFERROR(VLOOKUP(AM658,Equip!$A:$N,13,FALSE),0)&lt;=9),INT(VLOOKUP(AM658,Equip!$A:$N,6,FALSE)*SQRT(AQ658)),0)</f>
        <v>0</v>
      </c>
      <c r="AW658">
        <f t="shared" si="1582"/>
        <v>0</v>
      </c>
      <c r="AX658">
        <f t="shared" si="1583"/>
        <v>448</v>
      </c>
    </row>
    <row r="659" spans="1:51">
      <c r="A659">
        <v>701</v>
      </c>
      <c r="B659" t="s">
        <v>730</v>
      </c>
      <c r="C659" t="s">
        <v>731</v>
      </c>
      <c r="D659">
        <v>1</v>
      </c>
      <c r="E659">
        <f>E658</f>
        <v>2478</v>
      </c>
      <c r="F659">
        <f t="shared" ref="F659" si="1593">F658</f>
        <v>1361</v>
      </c>
      <c r="G659">
        <f t="shared" ref="G659" si="1594">G658</f>
        <v>701</v>
      </c>
      <c r="H659">
        <f t="shared" ref="H659" si="1595">H658</f>
        <v>2</v>
      </c>
      <c r="I659">
        <f t="shared" ref="I659" si="1596">I658</f>
        <v>5</v>
      </c>
      <c r="J659">
        <f t="shared" ref="J659" si="1597">J658</f>
        <v>0</v>
      </c>
      <c r="K659">
        <v>8</v>
      </c>
      <c r="L659">
        <v>8</v>
      </c>
      <c r="M659">
        <v>84</v>
      </c>
      <c r="N659">
        <v>84</v>
      </c>
      <c r="O659">
        <v>75</v>
      </c>
      <c r="P659">
        <v>73</v>
      </c>
      <c r="Q659">
        <v>0</v>
      </c>
      <c r="R659">
        <v>49</v>
      </c>
      <c r="S659">
        <v>41</v>
      </c>
      <c r="T659">
        <v>0</v>
      </c>
      <c r="U659">
        <f t="shared" ref="U659:U660" si="1598">U658</f>
        <v>10</v>
      </c>
      <c r="V659">
        <v>15</v>
      </c>
      <c r="W659">
        <f t="shared" ref="W659:W660" si="1599">W658</f>
        <v>3</v>
      </c>
      <c r="X659">
        <v>8</v>
      </c>
      <c r="Y659">
        <f t="shared" ref="Y659:Y660" si="1600">Y658</f>
        <v>0</v>
      </c>
      <c r="Z659">
        <v>110</v>
      </c>
      <c r="AA659">
        <v>130</v>
      </c>
      <c r="AB659">
        <v>99</v>
      </c>
      <c r="AC659">
        <v>0</v>
      </c>
      <c r="AD659">
        <v>93</v>
      </c>
      <c r="AE659">
        <v>88</v>
      </c>
      <c r="AF659">
        <v>39</v>
      </c>
      <c r="AG659">
        <v>73</v>
      </c>
      <c r="AH659">
        <v>0</v>
      </c>
      <c r="AI659">
        <v>45</v>
      </c>
      <c r="AJ659">
        <v>192</v>
      </c>
      <c r="AK659">
        <v>73</v>
      </c>
      <c r="AL659">
        <v>0</v>
      </c>
      <c r="AM659">
        <v>0</v>
      </c>
      <c r="AN659">
        <v>3</v>
      </c>
      <c r="AO659">
        <v>3</v>
      </c>
      <c r="AP659">
        <v>3</v>
      </c>
      <c r="AQ659">
        <v>3</v>
      </c>
      <c r="AR659">
        <f t="shared" si="1592"/>
        <v>12</v>
      </c>
      <c r="AS659">
        <f>IF(AND(IFERROR(VLOOKUP(AJ659,Equip!$A:$N,13,FALSE),0)&gt;=5,IFERROR(VLOOKUP(AJ659,Equip!$A:$N,13,FALSE),0)&lt;=9),INT(VLOOKUP(AJ659,Equip!$A:$N,6,FALSE)*SQRT(AN659)),0)</f>
        <v>0</v>
      </c>
      <c r="AT659">
        <f>IF(AND(IFERROR(VLOOKUP(AK659,Equip!$A:$N,13,FALSE),0)&gt;=5,IFERROR(VLOOKUP(AK659,Equip!$A:$N,13,FALSE),0)&lt;=9),INT(VLOOKUP(AK659,Equip!$A:$N,6,FALSE)*SQRT(AO659)),0)</f>
        <v>0</v>
      </c>
      <c r="AU659">
        <f>IF(AND(IFERROR(VLOOKUP(AL659,Equip!$A:$N,13,FALSE),0)&gt;=5,IFERROR(VLOOKUP(AL659,Equip!$A:$N,13,FALSE),0)&lt;=9),INT(VLOOKUP(AL659,Equip!$A:$N,6,FALSE)*SQRT(AP659)),0)</f>
        <v>0</v>
      </c>
      <c r="AV659">
        <f>IF(AND(IFERROR(VLOOKUP(AM659,Equip!$A:$N,13,FALSE),0)&gt;=5,IFERROR(VLOOKUP(AM659,Equip!$A:$N,13,FALSE),0)&lt;=9),INT(VLOOKUP(AM659,Equip!$A:$N,6,FALSE)*SQRT(AQ659)),0)</f>
        <v>0</v>
      </c>
      <c r="AW659">
        <f t="shared" si="1582"/>
        <v>0</v>
      </c>
      <c r="AX659">
        <f t="shared" si="1583"/>
        <v>482</v>
      </c>
    </row>
    <row r="660" spans="1:51">
      <c r="A660">
        <v>701</v>
      </c>
      <c r="B660" t="s">
        <v>730</v>
      </c>
      <c r="C660" t="s">
        <v>731</v>
      </c>
      <c r="D660">
        <v>2</v>
      </c>
      <c r="E660">
        <f>E659</f>
        <v>2478</v>
      </c>
      <c r="F660">
        <f t="shared" ref="F660" si="1601">F659</f>
        <v>1361</v>
      </c>
      <c r="G660">
        <f t="shared" ref="G660" si="1602">G659</f>
        <v>701</v>
      </c>
      <c r="H660">
        <f t="shared" ref="H660" si="1603">H659</f>
        <v>2</v>
      </c>
      <c r="I660">
        <f t="shared" ref="I660" si="1604">I659</f>
        <v>5</v>
      </c>
      <c r="J660">
        <f t="shared" ref="J660" si="1605">J659</f>
        <v>0</v>
      </c>
      <c r="K660">
        <v>8</v>
      </c>
      <c r="L660">
        <v>8</v>
      </c>
      <c r="M660">
        <v>91</v>
      </c>
      <c r="N660">
        <v>91</v>
      </c>
      <c r="O660">
        <v>78</v>
      </c>
      <c r="P660">
        <v>76</v>
      </c>
      <c r="Q660">
        <v>0</v>
      </c>
      <c r="R660">
        <v>64</v>
      </c>
      <c r="S660">
        <v>50</v>
      </c>
      <c r="T660">
        <v>0</v>
      </c>
      <c r="U660">
        <f t="shared" si="1598"/>
        <v>10</v>
      </c>
      <c r="V660">
        <v>18</v>
      </c>
      <c r="W660">
        <f t="shared" si="1599"/>
        <v>3</v>
      </c>
      <c r="X660">
        <v>10</v>
      </c>
      <c r="Y660">
        <f t="shared" si="1600"/>
        <v>0</v>
      </c>
      <c r="Z660">
        <v>120</v>
      </c>
      <c r="AA660">
        <v>140</v>
      </c>
      <c r="AB660">
        <v>106</v>
      </c>
      <c r="AC660">
        <v>0</v>
      </c>
      <c r="AD660">
        <v>104</v>
      </c>
      <c r="AE660">
        <v>92</v>
      </c>
      <c r="AF660">
        <v>44</v>
      </c>
      <c r="AG660">
        <v>79</v>
      </c>
      <c r="AH660">
        <v>0</v>
      </c>
      <c r="AI660">
        <v>48</v>
      </c>
      <c r="AJ660">
        <v>787</v>
      </c>
      <c r="AK660">
        <v>713</v>
      </c>
      <c r="AL660">
        <v>0</v>
      </c>
      <c r="AM660">
        <v>0</v>
      </c>
      <c r="AN660">
        <v>3</v>
      </c>
      <c r="AO660">
        <v>3</v>
      </c>
      <c r="AP660">
        <v>3</v>
      </c>
      <c r="AQ660">
        <v>3</v>
      </c>
      <c r="AR660">
        <f t="shared" si="1592"/>
        <v>12</v>
      </c>
      <c r="AS660">
        <f>IF(AND(IFERROR(VLOOKUP(AJ660,Equip!$A:$N,13,FALSE),0)&gt;=5,IFERROR(VLOOKUP(AJ660,Equip!$A:$N,13,FALSE),0)&lt;=9),INT(VLOOKUP(AJ660,Equip!$A:$N,6,FALSE)*SQRT(AN660)),0)</f>
        <v>0</v>
      </c>
      <c r="AT660">
        <f>IF(AND(IFERROR(VLOOKUP(AK660,Equip!$A:$N,13,FALSE),0)&gt;=5,IFERROR(VLOOKUP(AK660,Equip!$A:$N,13,FALSE),0)&lt;=9),INT(VLOOKUP(AK660,Equip!$A:$N,6,FALSE)*SQRT(AO660)),0)</f>
        <v>0</v>
      </c>
      <c r="AU660">
        <f>IF(AND(IFERROR(VLOOKUP(AL660,Equip!$A:$N,13,FALSE),0)&gt;=5,IFERROR(VLOOKUP(AL660,Equip!$A:$N,13,FALSE),0)&lt;=9),INT(VLOOKUP(AL660,Equip!$A:$N,6,FALSE)*SQRT(AP660)),0)</f>
        <v>0</v>
      </c>
      <c r="AV660">
        <f>IF(AND(IFERROR(VLOOKUP(AM660,Equip!$A:$N,13,FALSE),0)&gt;=5,IFERROR(VLOOKUP(AM660,Equip!$A:$N,13,FALSE),0)&lt;=9),INT(VLOOKUP(AM660,Equip!$A:$N,6,FALSE)*SQRT(AQ660)),0)</f>
        <v>0</v>
      </c>
      <c r="AW660">
        <f t="shared" si="1582"/>
        <v>0</v>
      </c>
      <c r="AX660">
        <f t="shared" si="1583"/>
        <v>520</v>
      </c>
    </row>
    <row r="661" spans="1:51">
      <c r="A661">
        <v>702</v>
      </c>
      <c r="B661" t="s">
        <v>1008</v>
      </c>
      <c r="C661" t="s">
        <v>1009</v>
      </c>
      <c r="D661">
        <v>0</v>
      </c>
      <c r="E661">
        <v>2856</v>
      </c>
      <c r="F661">
        <v>1528</v>
      </c>
      <c r="G661">
        <v>702</v>
      </c>
      <c r="H661">
        <v>2</v>
      </c>
      <c r="I661">
        <v>2</v>
      </c>
      <c r="J661">
        <v>11</v>
      </c>
      <c r="K661">
        <v>8</v>
      </c>
      <c r="L661">
        <v>8</v>
      </c>
      <c r="M661">
        <v>90</v>
      </c>
      <c r="N661">
        <v>90</v>
      </c>
      <c r="O661">
        <v>62</v>
      </c>
      <c r="P661">
        <v>66</v>
      </c>
      <c r="Q661">
        <v>0</v>
      </c>
      <c r="R661">
        <v>33</v>
      </c>
      <c r="S661">
        <v>25</v>
      </c>
      <c r="T661">
        <v>0</v>
      </c>
      <c r="U661">
        <v>10</v>
      </c>
      <c r="V661">
        <v>16</v>
      </c>
      <c r="W661">
        <v>3</v>
      </c>
      <c r="X661">
        <v>16</v>
      </c>
      <c r="Y661">
        <v>0</v>
      </c>
      <c r="Z661">
        <v>90</v>
      </c>
      <c r="AA661">
        <v>110</v>
      </c>
      <c r="AB661">
        <v>86</v>
      </c>
      <c r="AC661">
        <v>0</v>
      </c>
      <c r="AD661">
        <v>55</v>
      </c>
      <c r="AE661">
        <v>82</v>
      </c>
      <c r="AF661">
        <v>79</v>
      </c>
      <c r="AG661">
        <v>63</v>
      </c>
      <c r="AH661">
        <v>0</v>
      </c>
      <c r="AI661">
        <v>42</v>
      </c>
      <c r="AJ661">
        <v>76</v>
      </c>
      <c r="AK661">
        <v>77</v>
      </c>
      <c r="AL661">
        <v>0</v>
      </c>
      <c r="AM661">
        <v>0</v>
      </c>
      <c r="AN661">
        <v>4</v>
      </c>
      <c r="AO661">
        <v>4</v>
      </c>
      <c r="AP661">
        <v>4</v>
      </c>
      <c r="AQ661">
        <v>4</v>
      </c>
      <c r="AR661">
        <f t="shared" si="1592"/>
        <v>16</v>
      </c>
      <c r="AS661">
        <f>IF(AND(IFERROR(VLOOKUP(AJ661,Equip!$A:$N,13,FALSE),0)&gt;=5,IFERROR(VLOOKUP(AJ661,Equip!$A:$N,13,FALSE),0)&lt;=9),INT(VLOOKUP(AJ661,Equip!$A:$N,6,FALSE)*SQRT(AN661)),0)</f>
        <v>0</v>
      </c>
      <c r="AT661">
        <f>IF(AND(IFERROR(VLOOKUP(AK661,Equip!$A:$N,13,FALSE),0)&gt;=5,IFERROR(VLOOKUP(AK661,Equip!$A:$N,13,FALSE),0)&lt;=9),INT(VLOOKUP(AK661,Equip!$A:$N,6,FALSE)*SQRT(AO661)),0)</f>
        <v>0</v>
      </c>
      <c r="AU661">
        <f>IF(AND(IFERROR(VLOOKUP(AL661,Equip!$A:$N,13,FALSE),0)&gt;=5,IFERROR(VLOOKUP(AL661,Equip!$A:$N,13,FALSE),0)&lt;=9),INT(VLOOKUP(AL661,Equip!$A:$N,6,FALSE)*SQRT(AP661)),0)</f>
        <v>0</v>
      </c>
      <c r="AV661">
        <f>IF(AND(IFERROR(VLOOKUP(AM661,Equip!$A:$N,13,FALSE),0)&gt;=5,IFERROR(VLOOKUP(AM661,Equip!$A:$N,13,FALSE),0)&lt;=9),INT(VLOOKUP(AM661,Equip!$A:$N,6,FALSE)*SQRT(AQ661)),0)</f>
        <v>0</v>
      </c>
      <c r="AW661">
        <f t="shared" si="1582"/>
        <v>0</v>
      </c>
      <c r="AX661">
        <f t="shared" si="1583"/>
        <v>418</v>
      </c>
    </row>
    <row r="662" spans="1:51">
      <c r="A662">
        <v>702</v>
      </c>
      <c r="B662" t="s">
        <v>1008</v>
      </c>
      <c r="C662" t="s">
        <v>1009</v>
      </c>
      <c r="D662">
        <v>1</v>
      </c>
      <c r="E662">
        <f t="shared" ref="E662:E663" si="1606">E661</f>
        <v>2856</v>
      </c>
      <c r="F662">
        <f t="shared" ref="F662:F663" si="1607">F661</f>
        <v>1528</v>
      </c>
      <c r="G662">
        <f t="shared" ref="G662:G663" si="1608">G661</f>
        <v>702</v>
      </c>
      <c r="H662">
        <f t="shared" ref="H662:H663" si="1609">H661</f>
        <v>2</v>
      </c>
      <c r="I662">
        <f t="shared" ref="I662:I663" si="1610">I661</f>
        <v>2</v>
      </c>
      <c r="J662">
        <f t="shared" ref="J662:J663" si="1611">J661</f>
        <v>11</v>
      </c>
      <c r="K662">
        <v>8</v>
      </c>
      <c r="L662">
        <v>8</v>
      </c>
      <c r="M662">
        <v>93</v>
      </c>
      <c r="N662">
        <v>93</v>
      </c>
      <c r="O662">
        <v>66</v>
      </c>
      <c r="P662">
        <v>66</v>
      </c>
      <c r="Q662">
        <v>0</v>
      </c>
      <c r="R662">
        <v>37</v>
      </c>
      <c r="S662">
        <v>39</v>
      </c>
      <c r="T662">
        <v>0</v>
      </c>
      <c r="U662">
        <f t="shared" ref="U662:U663" si="1612">U661</f>
        <v>10</v>
      </c>
      <c r="V662">
        <v>17</v>
      </c>
      <c r="W662">
        <f t="shared" ref="W662:W663" si="1613">W661</f>
        <v>3</v>
      </c>
      <c r="X662">
        <v>18</v>
      </c>
      <c r="Y662">
        <f t="shared" ref="Y662:Y663" si="1614">Y661</f>
        <v>0</v>
      </c>
      <c r="Z662">
        <v>95</v>
      </c>
      <c r="AA662">
        <v>115</v>
      </c>
      <c r="AB662">
        <v>90</v>
      </c>
      <c r="AC662">
        <v>0</v>
      </c>
      <c r="AD662">
        <v>73</v>
      </c>
      <c r="AE662">
        <v>92</v>
      </c>
      <c r="AF662">
        <v>89</v>
      </c>
      <c r="AG662">
        <v>68</v>
      </c>
      <c r="AH662">
        <v>0</v>
      </c>
      <c r="AI662">
        <v>51</v>
      </c>
      <c r="AJ662">
        <v>76</v>
      </c>
      <c r="AK662">
        <v>77</v>
      </c>
      <c r="AL662">
        <v>115</v>
      </c>
      <c r="AM662">
        <v>0</v>
      </c>
      <c r="AN662">
        <v>4</v>
      </c>
      <c r="AO662">
        <v>4</v>
      </c>
      <c r="AP662">
        <v>4</v>
      </c>
      <c r="AQ662">
        <v>4</v>
      </c>
      <c r="AR662">
        <f t="shared" si="1592"/>
        <v>16</v>
      </c>
      <c r="AS662">
        <f>IF(AND(IFERROR(VLOOKUP(AJ662,Equip!$A:$N,13,FALSE),0)&gt;=5,IFERROR(VLOOKUP(AJ662,Equip!$A:$N,13,FALSE),0)&lt;=9),INT(VLOOKUP(AJ662,Equip!$A:$N,6,FALSE)*SQRT(AN662)),0)</f>
        <v>0</v>
      </c>
      <c r="AT662">
        <f>IF(AND(IFERROR(VLOOKUP(AK662,Equip!$A:$N,13,FALSE),0)&gt;=5,IFERROR(VLOOKUP(AK662,Equip!$A:$N,13,FALSE),0)&lt;=9),INT(VLOOKUP(AK662,Equip!$A:$N,6,FALSE)*SQRT(AO662)),0)</f>
        <v>0</v>
      </c>
      <c r="AU662">
        <f>IF(AND(IFERROR(VLOOKUP(AL662,Equip!$A:$N,13,FALSE),0)&gt;=5,IFERROR(VLOOKUP(AL662,Equip!$A:$N,13,FALSE),0)&lt;=9),INT(VLOOKUP(AL662,Equip!$A:$N,6,FALSE)*SQRT(AP662)),0)</f>
        <v>0</v>
      </c>
      <c r="AV662">
        <f>IF(AND(IFERROR(VLOOKUP(AM662,Equip!$A:$N,13,FALSE),0)&gt;=5,IFERROR(VLOOKUP(AM662,Equip!$A:$N,13,FALSE),0)&lt;=9),INT(VLOOKUP(AM662,Equip!$A:$N,6,FALSE)*SQRT(AQ662)),0)</f>
        <v>0</v>
      </c>
      <c r="AW662">
        <f t="shared" si="1582"/>
        <v>0</v>
      </c>
      <c r="AX662">
        <f t="shared" si="1583"/>
        <v>467</v>
      </c>
    </row>
    <row r="663" spans="1:51">
      <c r="A663">
        <v>702</v>
      </c>
      <c r="B663" t="s">
        <v>1008</v>
      </c>
      <c r="C663" t="s">
        <v>1009</v>
      </c>
      <c r="D663">
        <v>2</v>
      </c>
      <c r="E663">
        <f t="shared" si="1606"/>
        <v>2856</v>
      </c>
      <c r="F663">
        <f t="shared" si="1607"/>
        <v>1528</v>
      </c>
      <c r="G663">
        <f t="shared" si="1608"/>
        <v>702</v>
      </c>
      <c r="H663">
        <f t="shared" si="1609"/>
        <v>2</v>
      </c>
      <c r="I663">
        <f t="shared" si="1610"/>
        <v>2</v>
      </c>
      <c r="J663">
        <f t="shared" si="1611"/>
        <v>11</v>
      </c>
      <c r="K663">
        <v>8</v>
      </c>
      <c r="L663">
        <v>8</v>
      </c>
      <c r="M663">
        <v>95</v>
      </c>
      <c r="N663">
        <v>95</v>
      </c>
      <c r="O663">
        <v>75</v>
      </c>
      <c r="P663">
        <v>82</v>
      </c>
      <c r="Q663">
        <v>22</v>
      </c>
      <c r="R663">
        <v>62</v>
      </c>
      <c r="S663">
        <v>61</v>
      </c>
      <c r="T663">
        <v>0</v>
      </c>
      <c r="U663">
        <f t="shared" si="1612"/>
        <v>10</v>
      </c>
      <c r="V663">
        <v>45</v>
      </c>
      <c r="W663">
        <f t="shared" si="1613"/>
        <v>3</v>
      </c>
      <c r="X663">
        <v>24</v>
      </c>
      <c r="Y663">
        <f t="shared" si="1614"/>
        <v>0</v>
      </c>
      <c r="Z663">
        <v>110</v>
      </c>
      <c r="AA663">
        <v>155</v>
      </c>
      <c r="AB663">
        <v>95</v>
      </c>
      <c r="AC663">
        <v>36</v>
      </c>
      <c r="AD663">
        <v>83</v>
      </c>
      <c r="AE663">
        <v>94</v>
      </c>
      <c r="AF663">
        <v>86</v>
      </c>
      <c r="AG663">
        <v>74</v>
      </c>
      <c r="AH663">
        <v>0</v>
      </c>
      <c r="AI663">
        <v>57</v>
      </c>
      <c r="AJ663">
        <v>114</v>
      </c>
      <c r="AK663">
        <v>779</v>
      </c>
      <c r="AL663">
        <v>85</v>
      </c>
      <c r="AM663">
        <v>843</v>
      </c>
      <c r="AN663">
        <v>4</v>
      </c>
      <c r="AO663">
        <v>4</v>
      </c>
      <c r="AP663">
        <v>4</v>
      </c>
      <c r="AQ663">
        <v>4</v>
      </c>
      <c r="AR663">
        <f t="shared" si="1592"/>
        <v>16</v>
      </c>
      <c r="AS663">
        <f>IF(AND(IFERROR(VLOOKUP(AJ663,Equip!$A:$N,13,FALSE),0)&gt;=5,IFERROR(VLOOKUP(AJ663,Equip!$A:$N,13,FALSE),0)&lt;=9),INT(VLOOKUP(AJ663,Equip!$A:$N,6,FALSE)*SQRT(AN663)),0)</f>
        <v>0</v>
      </c>
      <c r="AT663">
        <f>IF(AND(IFERROR(VLOOKUP(AK663,Equip!$A:$N,13,FALSE),0)&gt;=5,IFERROR(VLOOKUP(AK663,Equip!$A:$N,13,FALSE),0)&lt;=9),INT(VLOOKUP(AK663,Equip!$A:$N,6,FALSE)*SQRT(AO663)),0)</f>
        <v>0</v>
      </c>
      <c r="AU663">
        <f>IF(AND(IFERROR(VLOOKUP(AL663,Equip!$A:$N,13,FALSE),0)&gt;=5,IFERROR(VLOOKUP(AL663,Equip!$A:$N,13,FALSE),0)&lt;=9),INT(VLOOKUP(AL663,Equip!$A:$N,6,FALSE)*SQRT(AP663)),0)</f>
        <v>0</v>
      </c>
      <c r="AV663">
        <f>IF(AND(IFERROR(VLOOKUP(AM663,Equip!$A:$N,13,FALSE),0)&gt;=5,IFERROR(VLOOKUP(AM663,Equip!$A:$N,13,FALSE),0)&lt;=9),INT(VLOOKUP(AM663,Equip!$A:$N,6,FALSE)*SQRT(AQ663)),0)</f>
        <v>0</v>
      </c>
      <c r="AW663">
        <f t="shared" si="1582"/>
        <v>0</v>
      </c>
      <c r="AX663">
        <f t="shared" si="1583"/>
        <v>534</v>
      </c>
    </row>
    <row r="664" spans="1:51">
      <c r="A664">
        <v>703</v>
      </c>
      <c r="B664" t="s">
        <v>1255</v>
      </c>
      <c r="C664" t="s">
        <v>1010</v>
      </c>
      <c r="D664">
        <v>0</v>
      </c>
      <c r="E664">
        <v>2347</v>
      </c>
      <c r="F664">
        <v>1133</v>
      </c>
      <c r="G664">
        <v>703</v>
      </c>
      <c r="H664">
        <v>0</v>
      </c>
      <c r="I664">
        <v>3</v>
      </c>
      <c r="J664">
        <v>9</v>
      </c>
      <c r="K664">
        <v>8</v>
      </c>
      <c r="L664">
        <v>7</v>
      </c>
      <c r="M664">
        <v>54</v>
      </c>
      <c r="N664">
        <v>54</v>
      </c>
      <c r="O664">
        <v>59</v>
      </c>
      <c r="P664">
        <v>59</v>
      </c>
      <c r="Q664">
        <v>0</v>
      </c>
      <c r="R664">
        <v>22</v>
      </c>
      <c r="S664">
        <v>18</v>
      </c>
      <c r="T664">
        <v>0</v>
      </c>
      <c r="U664">
        <v>5</v>
      </c>
      <c r="V664">
        <v>10</v>
      </c>
      <c r="W664">
        <v>3</v>
      </c>
      <c r="X664">
        <v>20</v>
      </c>
      <c r="Y664">
        <v>0</v>
      </c>
      <c r="Z664">
        <v>70</v>
      </c>
      <c r="AA664">
        <v>110</v>
      </c>
      <c r="AB664">
        <v>79</v>
      </c>
      <c r="AC664">
        <v>0</v>
      </c>
      <c r="AD664">
        <v>48</v>
      </c>
      <c r="AE664">
        <v>74</v>
      </c>
      <c r="AF664">
        <v>69</v>
      </c>
      <c r="AG664">
        <v>42</v>
      </c>
      <c r="AH664">
        <v>0</v>
      </c>
      <c r="AI664">
        <v>35</v>
      </c>
      <c r="AJ664">
        <v>742</v>
      </c>
      <c r="AK664">
        <v>0</v>
      </c>
      <c r="AL664">
        <v>0</v>
      </c>
      <c r="AM664">
        <v>-1</v>
      </c>
      <c r="AN664">
        <v>3</v>
      </c>
      <c r="AO664">
        <v>3</v>
      </c>
      <c r="AP664">
        <v>3</v>
      </c>
      <c r="AQ664">
        <v>0</v>
      </c>
      <c r="AR664">
        <f t="shared" si="1592"/>
        <v>9</v>
      </c>
      <c r="AS664">
        <f>IF(AND(IFERROR(VLOOKUP(AJ664,Equip!$A:$N,13,FALSE),0)&gt;=5,IFERROR(VLOOKUP(AJ664,Equip!$A:$N,13,FALSE),0)&lt;=9),INT(VLOOKUP(AJ664,Equip!$A:$N,6,FALSE)*SQRT(AN664)),0)</f>
        <v>0</v>
      </c>
      <c r="AT664">
        <f>IF(AND(IFERROR(VLOOKUP(AK664,Equip!$A:$N,13,FALSE),0)&gt;=5,IFERROR(VLOOKUP(AK664,Equip!$A:$N,13,FALSE),0)&lt;=9),INT(VLOOKUP(AK664,Equip!$A:$N,6,FALSE)*SQRT(AO664)),0)</f>
        <v>0</v>
      </c>
      <c r="AU664">
        <f>IF(AND(IFERROR(VLOOKUP(AL664,Equip!$A:$N,13,FALSE),0)&gt;=5,IFERROR(VLOOKUP(AL664,Equip!$A:$N,13,FALSE),0)&lt;=9),INT(VLOOKUP(AL664,Equip!$A:$N,6,FALSE)*SQRT(AP664)),0)</f>
        <v>0</v>
      </c>
      <c r="AV664">
        <f>IF(AND(IFERROR(VLOOKUP(AM664,Equip!$A:$N,13,FALSE),0)&gt;=5,IFERROR(VLOOKUP(AM664,Equip!$A:$N,13,FALSE),0)&lt;=9),INT(VLOOKUP(AM664,Equip!$A:$N,6,FALSE)*SQRT(AQ664)),0)</f>
        <v>0</v>
      </c>
      <c r="AW664">
        <f t="shared" si="1582"/>
        <v>0</v>
      </c>
      <c r="AX664">
        <f t="shared" si="1583"/>
        <v>332</v>
      </c>
    </row>
    <row r="665" spans="1:51">
      <c r="A665">
        <v>703</v>
      </c>
      <c r="B665" t="s">
        <v>1255</v>
      </c>
      <c r="C665" t="s">
        <v>1010</v>
      </c>
      <c r="D665">
        <v>1</v>
      </c>
      <c r="E665">
        <f t="shared" ref="E665:E666" si="1615">E664</f>
        <v>2347</v>
      </c>
      <c r="F665">
        <f t="shared" ref="F665:F666" si="1616">F664</f>
        <v>1133</v>
      </c>
      <c r="G665">
        <f t="shared" ref="G665:G666" si="1617">G664</f>
        <v>703</v>
      </c>
      <c r="H665">
        <f t="shared" ref="H665:H666" si="1618">H664</f>
        <v>0</v>
      </c>
      <c r="I665">
        <f t="shared" ref="I665:I666" si="1619">I664</f>
        <v>3</v>
      </c>
      <c r="J665">
        <f t="shared" ref="J665:J666" si="1620">J664</f>
        <v>9</v>
      </c>
      <c r="K665">
        <v>8</v>
      </c>
      <c r="L665">
        <v>7</v>
      </c>
      <c r="M665">
        <v>64</v>
      </c>
      <c r="N665">
        <v>64</v>
      </c>
      <c r="O665">
        <v>64</v>
      </c>
      <c r="P665">
        <v>64</v>
      </c>
      <c r="Q665">
        <v>0</v>
      </c>
      <c r="R665">
        <v>30</v>
      </c>
      <c r="S665">
        <v>35</v>
      </c>
      <c r="T665">
        <v>0</v>
      </c>
      <c r="U665">
        <f t="shared" ref="U665:U666" si="1621">U664</f>
        <v>5</v>
      </c>
      <c r="V665">
        <v>13</v>
      </c>
      <c r="W665">
        <f t="shared" ref="W665:W666" si="1622">W664</f>
        <v>3</v>
      </c>
      <c r="X665">
        <v>25</v>
      </c>
      <c r="Y665">
        <f t="shared" ref="Y665:Y666" si="1623">Y664</f>
        <v>0</v>
      </c>
      <c r="Z665">
        <v>85</v>
      </c>
      <c r="AA665">
        <v>120</v>
      </c>
      <c r="AB665">
        <v>89</v>
      </c>
      <c r="AC665">
        <v>0</v>
      </c>
      <c r="AD665">
        <v>70</v>
      </c>
      <c r="AE665">
        <v>89</v>
      </c>
      <c r="AF665">
        <v>89</v>
      </c>
      <c r="AG665">
        <v>60</v>
      </c>
      <c r="AH665">
        <v>0</v>
      </c>
      <c r="AI665">
        <v>38</v>
      </c>
      <c r="AJ665">
        <v>136</v>
      </c>
      <c r="AK665">
        <v>806</v>
      </c>
      <c r="AL665">
        <v>0</v>
      </c>
      <c r="AM665">
        <v>0</v>
      </c>
      <c r="AN665">
        <v>3</v>
      </c>
      <c r="AO665">
        <v>3</v>
      </c>
      <c r="AP665">
        <v>3</v>
      </c>
      <c r="AQ665">
        <v>3</v>
      </c>
      <c r="AR665">
        <f t="shared" si="1592"/>
        <v>12</v>
      </c>
      <c r="AS665">
        <f>IF(AND(IFERROR(VLOOKUP(AJ665,Equip!$A:$N,13,FALSE),0)&gt;=5,IFERROR(VLOOKUP(AJ665,Equip!$A:$N,13,FALSE),0)&lt;=9),INT(VLOOKUP(AJ665,Equip!$A:$N,6,FALSE)*SQRT(AN665)),0)</f>
        <v>0</v>
      </c>
      <c r="AT665">
        <f>IF(AND(IFERROR(VLOOKUP(AK665,Equip!$A:$N,13,FALSE),0)&gt;=5,IFERROR(VLOOKUP(AK665,Equip!$A:$N,13,FALSE),0)&lt;=9),INT(VLOOKUP(AK665,Equip!$A:$N,6,FALSE)*SQRT(AO665)),0)</f>
        <v>0</v>
      </c>
      <c r="AU665">
        <f>IF(AND(IFERROR(VLOOKUP(AL665,Equip!$A:$N,13,FALSE),0)&gt;=5,IFERROR(VLOOKUP(AL665,Equip!$A:$N,13,FALSE),0)&lt;=9),INT(VLOOKUP(AL665,Equip!$A:$N,6,FALSE)*SQRT(AP665)),0)</f>
        <v>0</v>
      </c>
      <c r="AV665">
        <f>IF(AND(IFERROR(VLOOKUP(AM665,Equip!$A:$N,13,FALSE),0)&gt;=5,IFERROR(VLOOKUP(AM665,Equip!$A:$N,13,FALSE),0)&lt;=9),INT(VLOOKUP(AM665,Equip!$A:$N,6,FALSE)*SQRT(AQ665)),0)</f>
        <v>0</v>
      </c>
      <c r="AW665">
        <f t="shared" si="1582"/>
        <v>0</v>
      </c>
      <c r="AX665">
        <f t="shared" si="1583"/>
        <v>410</v>
      </c>
    </row>
    <row r="666" spans="1:51">
      <c r="A666">
        <v>703</v>
      </c>
      <c r="B666" t="s">
        <v>1255</v>
      </c>
      <c r="C666" t="s">
        <v>1010</v>
      </c>
      <c r="D666">
        <v>2</v>
      </c>
      <c r="E666">
        <f t="shared" si="1615"/>
        <v>2347</v>
      </c>
      <c r="F666">
        <f t="shared" si="1616"/>
        <v>1133</v>
      </c>
      <c r="G666">
        <f t="shared" si="1617"/>
        <v>703</v>
      </c>
      <c r="H666">
        <f t="shared" si="1618"/>
        <v>0</v>
      </c>
      <c r="I666">
        <f t="shared" si="1619"/>
        <v>3</v>
      </c>
      <c r="J666">
        <f t="shared" si="1620"/>
        <v>9</v>
      </c>
      <c r="K666">
        <v>8</v>
      </c>
      <c r="L666">
        <v>7</v>
      </c>
      <c r="M666">
        <v>74</v>
      </c>
      <c r="N666">
        <v>74</v>
      </c>
      <c r="O666">
        <v>92</v>
      </c>
      <c r="P666">
        <v>72</v>
      </c>
      <c r="Q666">
        <v>0</v>
      </c>
      <c r="R666">
        <v>58</v>
      </c>
      <c r="S666">
        <v>43</v>
      </c>
      <c r="T666">
        <v>0</v>
      </c>
      <c r="U666">
        <f t="shared" si="1621"/>
        <v>5</v>
      </c>
      <c r="V666">
        <v>33</v>
      </c>
      <c r="W666">
        <f t="shared" si="1622"/>
        <v>3</v>
      </c>
      <c r="X666">
        <v>35</v>
      </c>
      <c r="Y666">
        <f t="shared" si="1623"/>
        <v>0</v>
      </c>
      <c r="Z666">
        <v>100</v>
      </c>
      <c r="AA666">
        <v>130</v>
      </c>
      <c r="AB666">
        <v>117</v>
      </c>
      <c r="AC666">
        <v>0</v>
      </c>
      <c r="AD666">
        <v>77</v>
      </c>
      <c r="AE666">
        <v>95</v>
      </c>
      <c r="AF666">
        <v>104</v>
      </c>
      <c r="AG666">
        <v>88</v>
      </c>
      <c r="AH666">
        <v>0</v>
      </c>
      <c r="AI666">
        <v>45</v>
      </c>
      <c r="AJ666">
        <v>133</v>
      </c>
      <c r="AK666">
        <v>807</v>
      </c>
      <c r="AL666">
        <v>0</v>
      </c>
      <c r="AM666">
        <v>0</v>
      </c>
      <c r="AN666">
        <v>3</v>
      </c>
      <c r="AO666">
        <v>3</v>
      </c>
      <c r="AP666">
        <v>3</v>
      </c>
      <c r="AQ666">
        <v>3</v>
      </c>
      <c r="AR666">
        <f t="shared" si="1592"/>
        <v>12</v>
      </c>
      <c r="AS666">
        <f>IF(AND(IFERROR(VLOOKUP(AJ666,Equip!$A:$N,13,FALSE),0)&gt;=5,IFERROR(VLOOKUP(AJ666,Equip!$A:$N,13,FALSE),0)&lt;=9),INT(VLOOKUP(AJ666,Equip!$A:$N,6,FALSE)*SQRT(AN666)),0)</f>
        <v>0</v>
      </c>
      <c r="AT666">
        <f>IF(AND(IFERROR(VLOOKUP(AK666,Equip!$A:$N,13,FALSE),0)&gt;=5,IFERROR(VLOOKUP(AK666,Equip!$A:$N,13,FALSE),0)&lt;=9),INT(VLOOKUP(AK666,Equip!$A:$N,6,FALSE)*SQRT(AO666)),0)</f>
        <v>0</v>
      </c>
      <c r="AU666">
        <f>IF(AND(IFERROR(VLOOKUP(AL666,Equip!$A:$N,13,FALSE),0)&gt;=5,IFERROR(VLOOKUP(AL666,Equip!$A:$N,13,FALSE),0)&lt;=9),INT(VLOOKUP(AL666,Equip!$A:$N,6,FALSE)*SQRT(AP666)),0)</f>
        <v>0</v>
      </c>
      <c r="AV666">
        <f>IF(AND(IFERROR(VLOOKUP(AM666,Equip!$A:$N,13,FALSE),0)&gt;=5,IFERROR(VLOOKUP(AM666,Equip!$A:$N,13,FALSE),0)&lt;=9),INT(VLOOKUP(AM666,Equip!$A:$N,6,FALSE)*SQRT(AQ666)),0)</f>
        <v>0</v>
      </c>
      <c r="AW666">
        <f t="shared" si="1582"/>
        <v>0</v>
      </c>
      <c r="AX666">
        <f t="shared" si="1583"/>
        <v>496</v>
      </c>
    </row>
    <row r="667" spans="1:51">
      <c r="A667">
        <v>704</v>
      </c>
      <c r="B667" t="s">
        <v>1011</v>
      </c>
      <c r="C667" t="s">
        <v>1012</v>
      </c>
      <c r="D667">
        <v>0</v>
      </c>
      <c r="E667">
        <v>2434</v>
      </c>
      <c r="F667">
        <v>1328</v>
      </c>
      <c r="G667">
        <v>704</v>
      </c>
      <c r="H667">
        <v>2</v>
      </c>
      <c r="I667">
        <v>5</v>
      </c>
      <c r="J667">
        <v>1</v>
      </c>
      <c r="K667">
        <v>8</v>
      </c>
      <c r="L667">
        <v>7</v>
      </c>
      <c r="M667">
        <v>68</v>
      </c>
      <c r="N667">
        <v>68</v>
      </c>
      <c r="O667">
        <v>61</v>
      </c>
      <c r="P667">
        <v>61</v>
      </c>
      <c r="Q667">
        <v>0</v>
      </c>
      <c r="R667">
        <v>33</v>
      </c>
      <c r="S667">
        <v>45</v>
      </c>
      <c r="T667">
        <v>0</v>
      </c>
      <c r="U667">
        <v>10</v>
      </c>
      <c r="V667">
        <v>16</v>
      </c>
      <c r="W667">
        <v>3</v>
      </c>
      <c r="X667">
        <v>25</v>
      </c>
      <c r="Y667">
        <v>0</v>
      </c>
      <c r="Z667">
        <v>85</v>
      </c>
      <c r="AA667">
        <v>110</v>
      </c>
      <c r="AB667">
        <v>86</v>
      </c>
      <c r="AC667">
        <v>0</v>
      </c>
      <c r="AD667">
        <v>95</v>
      </c>
      <c r="AE667">
        <v>75</v>
      </c>
      <c r="AF667">
        <v>69</v>
      </c>
      <c r="AG667">
        <v>66</v>
      </c>
      <c r="AH667">
        <v>0</v>
      </c>
      <c r="AI667">
        <v>50</v>
      </c>
      <c r="AJ667">
        <v>190</v>
      </c>
      <c r="AK667">
        <v>775</v>
      </c>
      <c r="AL667">
        <v>0</v>
      </c>
      <c r="AM667">
        <v>-1</v>
      </c>
      <c r="AN667">
        <v>4</v>
      </c>
      <c r="AO667">
        <v>4</v>
      </c>
      <c r="AP667">
        <v>4</v>
      </c>
      <c r="AQ667">
        <v>0</v>
      </c>
      <c r="AR667">
        <f t="shared" si="1592"/>
        <v>12</v>
      </c>
      <c r="AS667">
        <f>IF(AND(IFERROR(VLOOKUP(AJ667,Equip!$A:$N,13,FALSE),0)&gt;=5,IFERROR(VLOOKUP(AJ667,Equip!$A:$N,13,FALSE),0)&lt;=9),INT(VLOOKUP(AJ667,Equip!$A:$N,6,FALSE)*SQRT(AN667)),0)</f>
        <v>0</v>
      </c>
      <c r="AT667">
        <f>IF(AND(IFERROR(VLOOKUP(AK667,Equip!$A:$N,13,FALSE),0)&gt;=5,IFERROR(VLOOKUP(AK667,Equip!$A:$N,13,FALSE),0)&lt;=9),INT(VLOOKUP(AK667,Equip!$A:$N,6,FALSE)*SQRT(AO667)),0)</f>
        <v>0</v>
      </c>
      <c r="AU667">
        <f>IF(AND(IFERROR(VLOOKUP(AL667,Equip!$A:$N,13,FALSE),0)&gt;=5,IFERROR(VLOOKUP(AL667,Equip!$A:$N,13,FALSE),0)&lt;=9),INT(VLOOKUP(AL667,Equip!$A:$N,6,FALSE)*SQRT(AP667)),0)</f>
        <v>0</v>
      </c>
      <c r="AV667">
        <f>IF(AND(IFERROR(VLOOKUP(AM667,Equip!$A:$N,13,FALSE),0)&gt;=5,IFERROR(VLOOKUP(AM667,Equip!$A:$N,13,FALSE),0)&lt;=9),INT(VLOOKUP(AM667,Equip!$A:$N,6,FALSE)*SQRT(AQ667)),0)</f>
        <v>0</v>
      </c>
      <c r="AW667">
        <f t="shared" si="1582"/>
        <v>0</v>
      </c>
      <c r="AX667">
        <f t="shared" si="1583"/>
        <v>440</v>
      </c>
    </row>
    <row r="668" spans="1:51">
      <c r="A668">
        <v>704</v>
      </c>
      <c r="B668" t="s">
        <v>1011</v>
      </c>
      <c r="C668" t="s">
        <v>1012</v>
      </c>
      <c r="D668">
        <v>1</v>
      </c>
      <c r="E668">
        <f t="shared" ref="E668:E669" si="1624">E667</f>
        <v>2434</v>
      </c>
      <c r="F668">
        <f t="shared" ref="F668:F669" si="1625">F667</f>
        <v>1328</v>
      </c>
      <c r="G668">
        <f t="shared" ref="G668:G669" si="1626">G667</f>
        <v>704</v>
      </c>
      <c r="H668">
        <f t="shared" ref="H668:H669" si="1627">H667</f>
        <v>2</v>
      </c>
      <c r="I668">
        <f t="shared" ref="I668:I669" si="1628">I667</f>
        <v>5</v>
      </c>
      <c r="J668">
        <f t="shared" ref="J668:J669" si="1629">J667</f>
        <v>1</v>
      </c>
      <c r="K668">
        <v>8</v>
      </c>
      <c r="L668">
        <v>7</v>
      </c>
      <c r="M668">
        <v>73</v>
      </c>
      <c r="N668">
        <v>73</v>
      </c>
      <c r="O668">
        <v>64</v>
      </c>
      <c r="P668">
        <v>67</v>
      </c>
      <c r="Q668">
        <v>0</v>
      </c>
      <c r="R668">
        <v>57</v>
      </c>
      <c r="S668">
        <v>49</v>
      </c>
      <c r="T668">
        <v>0</v>
      </c>
      <c r="U668">
        <f t="shared" ref="U668:U669" si="1630">U667</f>
        <v>10</v>
      </c>
      <c r="V668">
        <v>21</v>
      </c>
      <c r="W668">
        <f t="shared" ref="W668:W669" si="1631">W667</f>
        <v>3</v>
      </c>
      <c r="X668">
        <v>30</v>
      </c>
      <c r="Y668">
        <f t="shared" ref="Y668:Y669" si="1632">Y667</f>
        <v>0</v>
      </c>
      <c r="Z668">
        <v>95</v>
      </c>
      <c r="AA668">
        <v>120</v>
      </c>
      <c r="AB668">
        <v>92</v>
      </c>
      <c r="AC668">
        <v>0</v>
      </c>
      <c r="AD668">
        <v>103</v>
      </c>
      <c r="AE668">
        <v>81</v>
      </c>
      <c r="AF668">
        <v>79</v>
      </c>
      <c r="AG668">
        <v>72</v>
      </c>
      <c r="AH668">
        <v>0</v>
      </c>
      <c r="AI668">
        <v>55</v>
      </c>
      <c r="AJ668">
        <v>192</v>
      </c>
      <c r="AK668">
        <v>776</v>
      </c>
      <c r="AL668">
        <v>0</v>
      </c>
      <c r="AM668">
        <v>0</v>
      </c>
      <c r="AN668">
        <v>4</v>
      </c>
      <c r="AO668">
        <v>4</v>
      </c>
      <c r="AP668">
        <v>4</v>
      </c>
      <c r="AQ668">
        <v>4</v>
      </c>
      <c r="AR668">
        <f t="shared" si="1592"/>
        <v>16</v>
      </c>
      <c r="AS668">
        <f>IF(AND(IFERROR(VLOOKUP(AJ668,Equip!$A:$N,13,FALSE),0)&gt;=5,IFERROR(VLOOKUP(AJ668,Equip!$A:$N,13,FALSE),0)&lt;=9),INT(VLOOKUP(AJ668,Equip!$A:$N,6,FALSE)*SQRT(AN668)),0)</f>
        <v>0</v>
      </c>
      <c r="AT668">
        <f>IF(AND(IFERROR(VLOOKUP(AK668,Equip!$A:$N,13,FALSE),0)&gt;=5,IFERROR(VLOOKUP(AK668,Equip!$A:$N,13,FALSE),0)&lt;=9),INT(VLOOKUP(AK668,Equip!$A:$N,6,FALSE)*SQRT(AO668)),0)</f>
        <v>0</v>
      </c>
      <c r="AU668">
        <f>IF(AND(IFERROR(VLOOKUP(AL668,Equip!$A:$N,13,FALSE),0)&gt;=5,IFERROR(VLOOKUP(AL668,Equip!$A:$N,13,FALSE),0)&lt;=9),INT(VLOOKUP(AL668,Equip!$A:$N,6,FALSE)*SQRT(AP668)),0)</f>
        <v>0</v>
      </c>
      <c r="AV668">
        <f>IF(AND(IFERROR(VLOOKUP(AM668,Equip!$A:$N,13,FALSE),0)&gt;=5,IFERROR(VLOOKUP(AM668,Equip!$A:$N,13,FALSE),0)&lt;=9),INT(VLOOKUP(AM668,Equip!$A:$N,6,FALSE)*SQRT(AQ668)),0)</f>
        <v>0</v>
      </c>
      <c r="AW668">
        <f t="shared" si="1582"/>
        <v>0</v>
      </c>
      <c r="AX668">
        <f t="shared" si="1583"/>
        <v>476</v>
      </c>
    </row>
    <row r="669" spans="1:51">
      <c r="A669">
        <v>704</v>
      </c>
      <c r="B669" t="s">
        <v>1011</v>
      </c>
      <c r="C669" t="s">
        <v>1012</v>
      </c>
      <c r="D669">
        <v>2</v>
      </c>
      <c r="E669">
        <f t="shared" si="1624"/>
        <v>2434</v>
      </c>
      <c r="F669">
        <f t="shared" si="1625"/>
        <v>1328</v>
      </c>
      <c r="G669">
        <f t="shared" si="1626"/>
        <v>704</v>
      </c>
      <c r="H669">
        <f t="shared" si="1627"/>
        <v>2</v>
      </c>
      <c r="I669">
        <f t="shared" si="1628"/>
        <v>5</v>
      </c>
      <c r="J669">
        <f t="shared" si="1629"/>
        <v>1</v>
      </c>
      <c r="K669">
        <v>8</v>
      </c>
      <c r="L669">
        <v>7</v>
      </c>
      <c r="M669">
        <v>81</v>
      </c>
      <c r="N669">
        <v>81</v>
      </c>
      <c r="O669">
        <v>72</v>
      </c>
      <c r="P669">
        <v>75</v>
      </c>
      <c r="Q669">
        <v>0</v>
      </c>
      <c r="R669">
        <v>65</v>
      </c>
      <c r="S669">
        <v>57</v>
      </c>
      <c r="T669">
        <v>0</v>
      </c>
      <c r="U669">
        <f t="shared" si="1630"/>
        <v>10</v>
      </c>
      <c r="V669">
        <v>21</v>
      </c>
      <c r="W669">
        <f t="shared" si="1631"/>
        <v>3</v>
      </c>
      <c r="X669">
        <v>35</v>
      </c>
      <c r="Y669">
        <f t="shared" si="1632"/>
        <v>0</v>
      </c>
      <c r="Z669">
        <v>110</v>
      </c>
      <c r="AA669">
        <v>130</v>
      </c>
      <c r="AB669">
        <v>100</v>
      </c>
      <c r="AC669">
        <v>0</v>
      </c>
      <c r="AD669">
        <v>111</v>
      </c>
      <c r="AE669">
        <v>89</v>
      </c>
      <c r="AF669">
        <v>89</v>
      </c>
      <c r="AG669">
        <v>80</v>
      </c>
      <c r="AH669">
        <v>0</v>
      </c>
      <c r="AI669">
        <v>55</v>
      </c>
      <c r="AJ669">
        <v>0</v>
      </c>
      <c r="AK669">
        <v>0</v>
      </c>
      <c r="AL669">
        <v>0</v>
      </c>
      <c r="AM669">
        <v>0</v>
      </c>
      <c r="AN669">
        <v>4</v>
      </c>
      <c r="AO669">
        <v>4</v>
      </c>
      <c r="AP669">
        <v>4</v>
      </c>
      <c r="AQ669">
        <v>4</v>
      </c>
      <c r="AR669">
        <f t="shared" si="1592"/>
        <v>16</v>
      </c>
      <c r="AS669">
        <f>IF(AND(IFERROR(VLOOKUP(AJ669,Equip!$A:$N,13,FALSE),0)&gt;=5,IFERROR(VLOOKUP(AJ669,Equip!$A:$N,13,FALSE),0)&lt;=9),INT(VLOOKUP(AJ669,Equip!$A:$N,6,FALSE)*SQRT(AN669)),0)</f>
        <v>0</v>
      </c>
      <c r="AT669">
        <f>IF(AND(IFERROR(VLOOKUP(AK669,Equip!$A:$N,13,FALSE),0)&gt;=5,IFERROR(VLOOKUP(AK669,Equip!$A:$N,13,FALSE),0)&lt;=9),INT(VLOOKUP(AK669,Equip!$A:$N,6,FALSE)*SQRT(AO669)),0)</f>
        <v>0</v>
      </c>
      <c r="AU669">
        <f>IF(AND(IFERROR(VLOOKUP(AL669,Equip!$A:$N,13,FALSE),0)&gt;=5,IFERROR(VLOOKUP(AL669,Equip!$A:$N,13,FALSE),0)&lt;=9),INT(VLOOKUP(AL669,Equip!$A:$N,6,FALSE)*SQRT(AP669)),0)</f>
        <v>0</v>
      </c>
      <c r="AV669">
        <f>IF(AND(IFERROR(VLOOKUP(AM669,Equip!$A:$N,13,FALSE),0)&gt;=5,IFERROR(VLOOKUP(AM669,Equip!$A:$N,13,FALSE),0)&lt;=9),INT(VLOOKUP(AM669,Equip!$A:$N,6,FALSE)*SQRT(AQ669)),0)</f>
        <v>0</v>
      </c>
      <c r="AW669">
        <f t="shared" si="1582"/>
        <v>0</v>
      </c>
      <c r="AX669">
        <f t="shared" si="1583"/>
        <v>516</v>
      </c>
    </row>
    <row r="670" spans="1:51">
      <c r="A670">
        <v>705</v>
      </c>
      <c r="B670" t="s">
        <v>1013</v>
      </c>
      <c r="C670" t="s">
        <v>1014</v>
      </c>
      <c r="D670">
        <v>0</v>
      </c>
      <c r="E670">
        <v>2089</v>
      </c>
      <c r="F670">
        <v>1098</v>
      </c>
      <c r="G670">
        <v>705</v>
      </c>
      <c r="H670">
        <v>1</v>
      </c>
      <c r="I670">
        <v>6</v>
      </c>
      <c r="J670">
        <v>4</v>
      </c>
      <c r="K670">
        <v>9</v>
      </c>
      <c r="L670">
        <v>4</v>
      </c>
      <c r="M670">
        <v>38</v>
      </c>
      <c r="N670">
        <v>38</v>
      </c>
      <c r="O670">
        <v>0</v>
      </c>
      <c r="P670">
        <v>20</v>
      </c>
      <c r="Q670">
        <v>0</v>
      </c>
      <c r="R670">
        <v>25</v>
      </c>
      <c r="S670">
        <v>25</v>
      </c>
      <c r="T670">
        <v>0</v>
      </c>
      <c r="U670">
        <v>10</v>
      </c>
      <c r="V670">
        <v>40</v>
      </c>
      <c r="W670">
        <v>1</v>
      </c>
      <c r="X670">
        <v>25</v>
      </c>
      <c r="Y670">
        <v>0</v>
      </c>
      <c r="Z670">
        <v>35</v>
      </c>
      <c r="AA670">
        <v>40</v>
      </c>
      <c r="AB670">
        <v>30</v>
      </c>
      <c r="AC670">
        <v>0</v>
      </c>
      <c r="AD670">
        <v>45</v>
      </c>
      <c r="AE670">
        <v>40</v>
      </c>
      <c r="AF670">
        <v>59</v>
      </c>
      <c r="AG670">
        <v>45</v>
      </c>
      <c r="AH670">
        <v>0</v>
      </c>
      <c r="AI670">
        <v>75</v>
      </c>
      <c r="AJ670">
        <v>195</v>
      </c>
      <c r="AK670">
        <v>766</v>
      </c>
      <c r="AL670">
        <v>0</v>
      </c>
      <c r="AM670">
        <v>-1</v>
      </c>
      <c r="AN670">
        <v>15</v>
      </c>
      <c r="AO670">
        <v>25</v>
      </c>
      <c r="AP670">
        <v>10</v>
      </c>
      <c r="AQ670">
        <v>0</v>
      </c>
      <c r="AR670">
        <f t="shared" si="1592"/>
        <v>50</v>
      </c>
      <c r="AS670">
        <f>IF(AND(IFERROR(VLOOKUP(AJ670,Equip!$A:$N,13,FALSE),0)&gt;=5,IFERROR(VLOOKUP(AJ670,Equip!$A:$N,13,FALSE),0)&lt;=9),INT(VLOOKUP(AJ670,Equip!$A:$N,6,FALSE)*SQRT(AN670)),0)</f>
        <v>0</v>
      </c>
      <c r="AT670">
        <f>IF(AND(IFERROR(VLOOKUP(AK670,Equip!$A:$N,13,FALSE),0)&gt;=5,IFERROR(VLOOKUP(AK670,Equip!$A:$N,13,FALSE),0)&lt;=9),INT(VLOOKUP(AK670,Equip!$A:$N,6,FALSE)*SQRT(AO670)),0)</f>
        <v>0</v>
      </c>
      <c r="AU670">
        <f>IF(AND(IFERROR(VLOOKUP(AL670,Equip!$A:$N,13,FALSE),0)&gt;=5,IFERROR(VLOOKUP(AL670,Equip!$A:$N,13,FALSE),0)&lt;=9),INT(VLOOKUP(AL670,Equip!$A:$N,6,FALSE)*SQRT(AP670)),0)</f>
        <v>0</v>
      </c>
      <c r="AV670">
        <f>IF(AND(IFERROR(VLOOKUP(AM670,Equip!$A:$N,13,FALSE),0)&gt;=5,IFERROR(VLOOKUP(AM670,Equip!$A:$N,13,FALSE),0)&lt;=9),INT(VLOOKUP(AM670,Equip!$A:$N,6,FALSE)*SQRT(AQ670)),0)</f>
        <v>0</v>
      </c>
      <c r="AW670">
        <f t="shared" si="1582"/>
        <v>0</v>
      </c>
      <c r="AX670">
        <f t="shared" si="1583"/>
        <v>273</v>
      </c>
    </row>
    <row r="671" spans="1:51">
      <c r="A671">
        <v>705</v>
      </c>
      <c r="B671" t="s">
        <v>1013</v>
      </c>
      <c r="C671" t="s">
        <v>1014</v>
      </c>
      <c r="D671">
        <v>1</v>
      </c>
      <c r="E671">
        <f t="shared" ref="E671:E672" si="1633">E670</f>
        <v>2089</v>
      </c>
      <c r="F671">
        <f t="shared" ref="F671:F672" si="1634">F670</f>
        <v>1098</v>
      </c>
      <c r="G671">
        <f t="shared" ref="G671:G672" si="1635">G670</f>
        <v>705</v>
      </c>
      <c r="H671">
        <f t="shared" ref="H671:H672" si="1636">H670</f>
        <v>1</v>
      </c>
      <c r="I671">
        <f t="shared" ref="I671:I672" si="1637">I670</f>
        <v>6</v>
      </c>
      <c r="J671">
        <f t="shared" ref="J671:J672" si="1638">J670</f>
        <v>4</v>
      </c>
      <c r="K671">
        <v>12</v>
      </c>
      <c r="L671">
        <v>4</v>
      </c>
      <c r="M671">
        <v>48</v>
      </c>
      <c r="N671">
        <v>48</v>
      </c>
      <c r="O671">
        <v>0</v>
      </c>
      <c r="P671">
        <v>38</v>
      </c>
      <c r="Q671">
        <v>0</v>
      </c>
      <c r="R671">
        <v>43</v>
      </c>
      <c r="S671">
        <v>35</v>
      </c>
      <c r="T671">
        <v>0</v>
      </c>
      <c r="U671">
        <f t="shared" ref="U671:U672" si="1639">U670</f>
        <v>10</v>
      </c>
      <c r="V671">
        <v>50</v>
      </c>
      <c r="W671">
        <f t="shared" ref="W671:W672" si="1640">W670</f>
        <v>1</v>
      </c>
      <c r="X671">
        <v>25</v>
      </c>
      <c r="Y671">
        <f t="shared" ref="Y671:Y672" si="1641">Y670</f>
        <v>0</v>
      </c>
      <c r="Z671">
        <v>50</v>
      </c>
      <c r="AA671">
        <v>65</v>
      </c>
      <c r="AB671">
        <v>39</v>
      </c>
      <c r="AC671">
        <v>0</v>
      </c>
      <c r="AD671">
        <v>65</v>
      </c>
      <c r="AE671">
        <v>60</v>
      </c>
      <c r="AF671">
        <v>79</v>
      </c>
      <c r="AG671">
        <v>73</v>
      </c>
      <c r="AH671">
        <v>0</v>
      </c>
      <c r="AI671">
        <v>85</v>
      </c>
      <c r="AJ671">
        <v>756</v>
      </c>
      <c r="AK671">
        <v>763</v>
      </c>
      <c r="AL671">
        <v>0</v>
      </c>
      <c r="AM671">
        <v>0</v>
      </c>
      <c r="AN671">
        <v>15</v>
      </c>
      <c r="AO671">
        <v>20</v>
      </c>
      <c r="AP671">
        <v>25</v>
      </c>
      <c r="AQ671">
        <v>5</v>
      </c>
      <c r="AR671">
        <f t="shared" si="1592"/>
        <v>65</v>
      </c>
      <c r="AS671">
        <f>IF(AND(IFERROR(VLOOKUP(AJ671,Equip!$A:$N,13,FALSE),0)&gt;=5,IFERROR(VLOOKUP(AJ671,Equip!$A:$N,13,FALSE),0)&lt;=9),INT(VLOOKUP(AJ671,Equip!$A:$N,6,FALSE)*SQRT(AN671)),0)</f>
        <v>0</v>
      </c>
      <c r="AT671">
        <f>IF(AND(IFERROR(VLOOKUP(AK671,Equip!$A:$N,13,FALSE),0)&gt;=5,IFERROR(VLOOKUP(AK671,Equip!$A:$N,13,FALSE),0)&lt;=9),INT(VLOOKUP(AK671,Equip!$A:$N,6,FALSE)*SQRT(AO671)),0)</f>
        <v>0</v>
      </c>
      <c r="AU671">
        <f>IF(AND(IFERROR(VLOOKUP(AL671,Equip!$A:$N,13,FALSE),0)&gt;=5,IFERROR(VLOOKUP(AL671,Equip!$A:$N,13,FALSE),0)&lt;=9),INT(VLOOKUP(AL671,Equip!$A:$N,6,FALSE)*SQRT(AP671)),0)</f>
        <v>0</v>
      </c>
      <c r="AV671">
        <f>IF(AND(IFERROR(VLOOKUP(AM671,Equip!$A:$N,13,FALSE),0)&gt;=5,IFERROR(VLOOKUP(AM671,Equip!$A:$N,13,FALSE),0)&lt;=9),INT(VLOOKUP(AM671,Equip!$A:$N,6,FALSE)*SQRT(AQ671)),0)</f>
        <v>0</v>
      </c>
      <c r="AW671">
        <f t="shared" si="1582"/>
        <v>0</v>
      </c>
      <c r="AX671">
        <f t="shared" si="1583"/>
        <v>370</v>
      </c>
    </row>
    <row r="672" spans="1:51" ht="14.25">
      <c r="A672">
        <v>705</v>
      </c>
      <c r="B672" t="s">
        <v>1013</v>
      </c>
      <c r="C672" t="s">
        <v>1014</v>
      </c>
      <c r="D672">
        <v>2</v>
      </c>
      <c r="E672">
        <f t="shared" si="1633"/>
        <v>2089</v>
      </c>
      <c r="F672">
        <f t="shared" si="1634"/>
        <v>1098</v>
      </c>
      <c r="G672">
        <f t="shared" si="1635"/>
        <v>705</v>
      </c>
      <c r="H672">
        <f t="shared" si="1636"/>
        <v>1</v>
      </c>
      <c r="I672">
        <f t="shared" si="1637"/>
        <v>6</v>
      </c>
      <c r="J672">
        <f t="shared" si="1638"/>
        <v>4</v>
      </c>
      <c r="K672">
        <v>12</v>
      </c>
      <c r="L672">
        <v>4</v>
      </c>
      <c r="M672">
        <v>58</v>
      </c>
      <c r="N672">
        <v>58</v>
      </c>
      <c r="O672">
        <v>0</v>
      </c>
      <c r="P672">
        <v>48</v>
      </c>
      <c r="Q672">
        <v>0</v>
      </c>
      <c r="R672">
        <v>58</v>
      </c>
      <c r="S672">
        <v>45</v>
      </c>
      <c r="T672">
        <v>0</v>
      </c>
      <c r="U672">
        <f t="shared" si="1639"/>
        <v>10</v>
      </c>
      <c r="V672">
        <v>75</v>
      </c>
      <c r="W672">
        <f t="shared" si="1640"/>
        <v>1</v>
      </c>
      <c r="X672">
        <v>30</v>
      </c>
      <c r="Y672">
        <f t="shared" si="1641"/>
        <v>0</v>
      </c>
      <c r="Z672">
        <v>65</v>
      </c>
      <c r="AA672">
        <v>70</v>
      </c>
      <c r="AB672">
        <v>51</v>
      </c>
      <c r="AC672">
        <v>0</v>
      </c>
      <c r="AD672">
        <v>75</v>
      </c>
      <c r="AE672">
        <v>68</v>
      </c>
      <c r="AF672">
        <v>84</v>
      </c>
      <c r="AG672">
        <v>77</v>
      </c>
      <c r="AH672">
        <v>0</v>
      </c>
      <c r="AI672">
        <v>85</v>
      </c>
      <c r="AJ672">
        <v>0</v>
      </c>
      <c r="AK672">
        <v>0</v>
      </c>
      <c r="AL672">
        <v>0</v>
      </c>
      <c r="AM672">
        <v>0</v>
      </c>
      <c r="AN672">
        <v>18</v>
      </c>
      <c r="AO672">
        <v>23</v>
      </c>
      <c r="AP672">
        <v>28</v>
      </c>
      <c r="AQ672">
        <v>7</v>
      </c>
      <c r="AR672">
        <f t="shared" si="1592"/>
        <v>76</v>
      </c>
      <c r="AS672">
        <f>IF(AND(IFERROR(VLOOKUP(AJ672,Equip!$A:$N,13,FALSE),0)&gt;=5,IFERROR(VLOOKUP(AJ672,Equip!$A:$N,13,FALSE),0)&lt;=9),INT(VLOOKUP(AJ672,Equip!$A:$N,6,FALSE)*SQRT(AN672)),0)</f>
        <v>0</v>
      </c>
      <c r="AT672">
        <f>IF(AND(IFERROR(VLOOKUP(AK672,Equip!$A:$N,13,FALSE),0)&gt;=5,IFERROR(VLOOKUP(AK672,Equip!$A:$N,13,FALSE),0)&lt;=9),INT(VLOOKUP(AK672,Equip!$A:$N,6,FALSE)*SQRT(AO672)),0)</f>
        <v>0</v>
      </c>
      <c r="AU672">
        <f>IF(AND(IFERROR(VLOOKUP(AL672,Equip!$A:$N,13,FALSE),0)&gt;=5,IFERROR(VLOOKUP(AL672,Equip!$A:$N,13,FALSE),0)&lt;=9),INT(VLOOKUP(AL672,Equip!$A:$N,6,FALSE)*SQRT(AP672)),0)</f>
        <v>0</v>
      </c>
      <c r="AV672">
        <f>IF(AND(IFERROR(VLOOKUP(AM672,Equip!$A:$N,13,FALSE),0)&gt;=5,IFERROR(VLOOKUP(AM672,Equip!$A:$N,13,FALSE),0)&lt;=9),INT(VLOOKUP(AM672,Equip!$A:$N,6,FALSE)*SQRT(AQ672)),0)</f>
        <v>0</v>
      </c>
      <c r="AW672">
        <f t="shared" si="1582"/>
        <v>0</v>
      </c>
      <c r="AX672">
        <f t="shared" si="1583"/>
        <v>414</v>
      </c>
      <c r="AY672" s="4" t="s">
        <v>1394</v>
      </c>
    </row>
    <row r="673" spans="1:50">
      <c r="A673">
        <v>706</v>
      </c>
      <c r="B673" t="s">
        <v>1216</v>
      </c>
      <c r="C673" t="s">
        <v>873</v>
      </c>
      <c r="D673">
        <v>0</v>
      </c>
      <c r="E673">
        <v>2179</v>
      </c>
      <c r="F673">
        <v>1189</v>
      </c>
      <c r="G673">
        <v>176</v>
      </c>
      <c r="H673">
        <v>1</v>
      </c>
      <c r="I673">
        <v>2</v>
      </c>
      <c r="J673">
        <v>7</v>
      </c>
      <c r="K673">
        <v>3</v>
      </c>
      <c r="L673">
        <v>4</v>
      </c>
      <c r="M673">
        <v>54</v>
      </c>
      <c r="N673">
        <v>54</v>
      </c>
      <c r="O673">
        <v>32</v>
      </c>
      <c r="P673">
        <v>40</v>
      </c>
      <c r="Q673">
        <v>27</v>
      </c>
      <c r="R673">
        <v>34</v>
      </c>
      <c r="S673">
        <v>22</v>
      </c>
      <c r="T673">
        <v>0</v>
      </c>
      <c r="U673">
        <v>10</v>
      </c>
      <c r="V673">
        <v>14</v>
      </c>
      <c r="W673">
        <v>2</v>
      </c>
      <c r="X673">
        <v>30</v>
      </c>
      <c r="Y673">
        <v>0</v>
      </c>
      <c r="Z673">
        <v>50</v>
      </c>
      <c r="AA673">
        <v>70</v>
      </c>
      <c r="AB673">
        <v>50</v>
      </c>
      <c r="AC673">
        <v>58</v>
      </c>
      <c r="AD673">
        <v>50</v>
      </c>
      <c r="AE673">
        <v>66</v>
      </c>
      <c r="AF673">
        <v>69</v>
      </c>
      <c r="AG673">
        <v>68</v>
      </c>
      <c r="AH673">
        <v>0</v>
      </c>
      <c r="AI673">
        <v>40</v>
      </c>
      <c r="AJ673">
        <v>123</v>
      </c>
      <c r="AK673">
        <v>115</v>
      </c>
      <c r="AL673">
        <v>0</v>
      </c>
      <c r="AM673">
        <v>-1</v>
      </c>
      <c r="AN673">
        <v>3</v>
      </c>
      <c r="AO673">
        <v>3</v>
      </c>
      <c r="AP673">
        <v>3</v>
      </c>
      <c r="AQ673">
        <v>0</v>
      </c>
      <c r="AR673">
        <f t="shared" si="1592"/>
        <v>9</v>
      </c>
      <c r="AS673">
        <f>IF(AND(IFERROR(VLOOKUP(AJ673,Equip!$A:$N,13,FALSE),0)&gt;=5,IFERROR(VLOOKUP(AJ673,Equip!$A:$N,13,FALSE),0)&lt;=9),INT(VLOOKUP(AJ673,Equip!$A:$N,6,FALSE)*SQRT(AN673)),0)</f>
        <v>0</v>
      </c>
      <c r="AT673">
        <f>IF(AND(IFERROR(VLOOKUP(AK673,Equip!$A:$N,13,FALSE),0)&gt;=5,IFERROR(VLOOKUP(AK673,Equip!$A:$N,13,FALSE),0)&lt;=9),INT(VLOOKUP(AK673,Equip!$A:$N,6,FALSE)*SQRT(AO673)),0)</f>
        <v>0</v>
      </c>
      <c r="AU673">
        <f>IF(AND(IFERROR(VLOOKUP(AL673,Equip!$A:$N,13,FALSE),0)&gt;=5,IFERROR(VLOOKUP(AL673,Equip!$A:$N,13,FALSE),0)&lt;=9),INT(VLOOKUP(AL673,Equip!$A:$N,6,FALSE)*SQRT(AP673)),0)</f>
        <v>0</v>
      </c>
      <c r="AV673">
        <f>IF(AND(IFERROR(VLOOKUP(AM673,Equip!$A:$N,13,FALSE),0)&gt;=5,IFERROR(VLOOKUP(AM673,Equip!$A:$N,13,FALSE),0)&lt;=9),INT(VLOOKUP(AM673,Equip!$A:$N,6,FALSE)*SQRT(AQ673)),0)</f>
        <v>0</v>
      </c>
      <c r="AW673">
        <f t="shared" si="1582"/>
        <v>0</v>
      </c>
      <c r="AX673">
        <f t="shared" si="1583"/>
        <v>386</v>
      </c>
    </row>
    <row r="674" spans="1:50">
      <c r="A674">
        <v>706</v>
      </c>
      <c r="B674" t="s">
        <v>1216</v>
      </c>
      <c r="C674" t="s">
        <v>873</v>
      </c>
      <c r="D674">
        <v>1</v>
      </c>
      <c r="E674">
        <f>E673</f>
        <v>2179</v>
      </c>
      <c r="F674">
        <f t="shared" ref="F674" si="1642">F673</f>
        <v>1189</v>
      </c>
      <c r="G674">
        <f t="shared" ref="G674" si="1643">G673</f>
        <v>176</v>
      </c>
      <c r="H674">
        <f t="shared" ref="H674" si="1644">H673</f>
        <v>1</v>
      </c>
      <c r="I674">
        <f t="shared" ref="I674" si="1645">I673</f>
        <v>2</v>
      </c>
      <c r="J674">
        <f t="shared" ref="J674" si="1646">J673</f>
        <v>7</v>
      </c>
      <c r="K674">
        <v>3</v>
      </c>
      <c r="L674">
        <v>4</v>
      </c>
      <c r="M674">
        <v>69</v>
      </c>
      <c r="N674">
        <v>69</v>
      </c>
      <c r="O674">
        <v>44</v>
      </c>
      <c r="P674">
        <v>41</v>
      </c>
      <c r="Q674">
        <v>33</v>
      </c>
      <c r="R674">
        <v>40</v>
      </c>
      <c r="S674">
        <v>24</v>
      </c>
      <c r="T674">
        <v>0</v>
      </c>
      <c r="U674">
        <f t="shared" ref="U674" si="1647">U673</f>
        <v>10</v>
      </c>
      <c r="V674">
        <v>16</v>
      </c>
      <c r="W674">
        <f t="shared" ref="W674" si="1648">W673</f>
        <v>2</v>
      </c>
      <c r="X674">
        <v>40</v>
      </c>
      <c r="Y674">
        <f t="shared" ref="Y674" si="1649">Y673</f>
        <v>0</v>
      </c>
      <c r="Z674">
        <v>55</v>
      </c>
      <c r="AA674">
        <v>75</v>
      </c>
      <c r="AB674">
        <v>70</v>
      </c>
      <c r="AC674">
        <v>75</v>
      </c>
      <c r="AD674">
        <v>65</v>
      </c>
      <c r="AE674">
        <v>85</v>
      </c>
      <c r="AF674">
        <v>89</v>
      </c>
      <c r="AG674">
        <v>74</v>
      </c>
      <c r="AH674">
        <v>0</v>
      </c>
      <c r="AI674">
        <v>50</v>
      </c>
      <c r="AJ674">
        <v>123</v>
      </c>
      <c r="AK674">
        <v>72</v>
      </c>
      <c r="AL674">
        <v>124</v>
      </c>
      <c r="AM674">
        <v>0</v>
      </c>
      <c r="AN674">
        <v>3</v>
      </c>
      <c r="AO674">
        <v>3</v>
      </c>
      <c r="AP674">
        <v>3</v>
      </c>
      <c r="AQ674">
        <v>3</v>
      </c>
      <c r="AR674">
        <f t="shared" si="1592"/>
        <v>12</v>
      </c>
      <c r="AS674">
        <f>IF(AND(IFERROR(VLOOKUP(AJ674,Equip!$A:$N,13,FALSE),0)&gt;=5,IFERROR(VLOOKUP(AJ674,Equip!$A:$N,13,FALSE),0)&lt;=9),INT(VLOOKUP(AJ674,Equip!$A:$N,6,FALSE)*SQRT(AN674)),0)</f>
        <v>0</v>
      </c>
      <c r="AT674">
        <f>IF(AND(IFERROR(VLOOKUP(AK674,Equip!$A:$N,13,FALSE),0)&gt;=5,IFERROR(VLOOKUP(AK674,Equip!$A:$N,13,FALSE),0)&lt;=9),INT(VLOOKUP(AK674,Equip!$A:$N,6,FALSE)*SQRT(AO674)),0)</f>
        <v>0</v>
      </c>
      <c r="AU674">
        <f>IF(AND(IFERROR(VLOOKUP(AL674,Equip!$A:$N,13,FALSE),0)&gt;=5,IFERROR(VLOOKUP(AL674,Equip!$A:$N,13,FALSE),0)&lt;=9),INT(VLOOKUP(AL674,Equip!$A:$N,6,FALSE)*SQRT(AP674)),0)</f>
        <v>0</v>
      </c>
      <c r="AV674">
        <f>IF(AND(IFERROR(VLOOKUP(AM674,Equip!$A:$N,13,FALSE),0)&gt;=5,IFERROR(VLOOKUP(AM674,Equip!$A:$N,13,FALSE),0)&lt;=9),INT(VLOOKUP(AM674,Equip!$A:$N,6,FALSE)*SQRT(AQ674)),0)</f>
        <v>0</v>
      </c>
      <c r="AW674">
        <f t="shared" si="1582"/>
        <v>0</v>
      </c>
      <c r="AX674">
        <f t="shared" si="1583"/>
        <v>488</v>
      </c>
    </row>
    <row r="675" spans="1:50">
      <c r="A675">
        <v>707</v>
      </c>
      <c r="B675" t="s">
        <v>1015</v>
      </c>
      <c r="C675" t="s">
        <v>1016</v>
      </c>
      <c r="D675">
        <v>0</v>
      </c>
      <c r="E675">
        <v>2089</v>
      </c>
      <c r="F675">
        <v>1098</v>
      </c>
      <c r="G675">
        <v>707</v>
      </c>
      <c r="H675">
        <v>1</v>
      </c>
      <c r="I675">
        <v>6</v>
      </c>
      <c r="J675">
        <v>8</v>
      </c>
      <c r="K675">
        <v>3</v>
      </c>
      <c r="L675">
        <v>4</v>
      </c>
      <c r="M675">
        <v>43</v>
      </c>
      <c r="N675">
        <v>43</v>
      </c>
      <c r="O675">
        <v>38</v>
      </c>
      <c r="P675">
        <v>32</v>
      </c>
      <c r="Q675">
        <v>0</v>
      </c>
      <c r="R675">
        <v>31</v>
      </c>
      <c r="S675">
        <v>35</v>
      </c>
      <c r="T675">
        <v>0</v>
      </c>
      <c r="U675">
        <v>10</v>
      </c>
      <c r="V675">
        <v>15</v>
      </c>
      <c r="W675">
        <v>2</v>
      </c>
      <c r="X675">
        <v>12</v>
      </c>
      <c r="Y675">
        <v>0</v>
      </c>
      <c r="Z675">
        <v>40</v>
      </c>
      <c r="AA675">
        <v>70</v>
      </c>
      <c r="AB675">
        <v>63</v>
      </c>
      <c r="AC675">
        <v>22</v>
      </c>
      <c r="AD675">
        <v>65</v>
      </c>
      <c r="AE675">
        <v>52</v>
      </c>
      <c r="AF675">
        <v>49</v>
      </c>
      <c r="AG675">
        <v>71</v>
      </c>
      <c r="AH675">
        <v>0</v>
      </c>
      <c r="AI675">
        <v>50</v>
      </c>
      <c r="AJ675">
        <v>732</v>
      </c>
      <c r="AK675">
        <v>750</v>
      </c>
      <c r="AL675">
        <v>0</v>
      </c>
      <c r="AM675">
        <v>-1</v>
      </c>
      <c r="AN675">
        <v>2</v>
      </c>
      <c r="AO675">
        <v>2</v>
      </c>
      <c r="AP675">
        <v>2</v>
      </c>
      <c r="AQ675">
        <v>0</v>
      </c>
      <c r="AR675">
        <f t="shared" si="1592"/>
        <v>6</v>
      </c>
      <c r="AS675">
        <f>IF(AND(IFERROR(VLOOKUP(AJ675,Equip!$A:$N,13,FALSE),0)&gt;=5,IFERROR(VLOOKUP(AJ675,Equip!$A:$N,13,FALSE),0)&lt;=9),INT(VLOOKUP(AJ675,Equip!$A:$N,6,FALSE)*SQRT(AN675)),0)</f>
        <v>0</v>
      </c>
      <c r="AT675">
        <f>IF(AND(IFERROR(VLOOKUP(AK675,Equip!$A:$N,13,FALSE),0)&gt;=5,IFERROR(VLOOKUP(AK675,Equip!$A:$N,13,FALSE),0)&lt;=9),INT(VLOOKUP(AK675,Equip!$A:$N,6,FALSE)*SQRT(AO675)),0)</f>
        <v>0</v>
      </c>
      <c r="AU675">
        <f>IF(AND(IFERROR(VLOOKUP(AL675,Equip!$A:$N,13,FALSE),0)&gt;=5,IFERROR(VLOOKUP(AL675,Equip!$A:$N,13,FALSE),0)&lt;=9),INT(VLOOKUP(AL675,Equip!$A:$N,6,FALSE)*SQRT(AP675)),0)</f>
        <v>0</v>
      </c>
      <c r="AV675">
        <f>IF(AND(IFERROR(VLOOKUP(AM675,Equip!$A:$N,13,FALSE),0)&gt;=5,IFERROR(VLOOKUP(AM675,Equip!$A:$N,13,FALSE),0)&lt;=9),INT(VLOOKUP(AM675,Equip!$A:$N,6,FALSE)*SQRT(AQ675)),0)</f>
        <v>0</v>
      </c>
      <c r="AW675">
        <f t="shared" si="1582"/>
        <v>0</v>
      </c>
      <c r="AX675">
        <f t="shared" si="1583"/>
        <v>366</v>
      </c>
    </row>
    <row r="676" spans="1:50">
      <c r="A676">
        <v>707</v>
      </c>
      <c r="B676" t="s">
        <v>1015</v>
      </c>
      <c r="C676" t="s">
        <v>1016</v>
      </c>
      <c r="D676">
        <v>1</v>
      </c>
      <c r="E676">
        <f>E675</f>
        <v>2089</v>
      </c>
      <c r="F676">
        <f t="shared" ref="F676" si="1650">F675</f>
        <v>1098</v>
      </c>
      <c r="G676">
        <f t="shared" ref="G676" si="1651">G675</f>
        <v>707</v>
      </c>
      <c r="H676">
        <f t="shared" ref="H676" si="1652">H675</f>
        <v>1</v>
      </c>
      <c r="I676">
        <f t="shared" ref="I676" si="1653">I675</f>
        <v>6</v>
      </c>
      <c r="J676">
        <f t="shared" ref="J676" si="1654">J675</f>
        <v>8</v>
      </c>
      <c r="K676">
        <v>3</v>
      </c>
      <c r="L676">
        <v>4</v>
      </c>
      <c r="M676">
        <v>62</v>
      </c>
      <c r="N676">
        <v>62</v>
      </c>
      <c r="O676">
        <v>51</v>
      </c>
      <c r="P676">
        <v>48</v>
      </c>
      <c r="Q676">
        <v>0</v>
      </c>
      <c r="R676">
        <v>37</v>
      </c>
      <c r="S676">
        <v>58</v>
      </c>
      <c r="T676">
        <v>0</v>
      </c>
      <c r="U676">
        <f t="shared" ref="U676" si="1655">U675</f>
        <v>10</v>
      </c>
      <c r="V676">
        <v>25</v>
      </c>
      <c r="W676">
        <f t="shared" ref="W676" si="1656">W675</f>
        <v>2</v>
      </c>
      <c r="X676">
        <v>13</v>
      </c>
      <c r="Y676">
        <f t="shared" ref="Y676" si="1657">Y675</f>
        <v>0</v>
      </c>
      <c r="Z676">
        <v>50</v>
      </c>
      <c r="AA676">
        <v>80</v>
      </c>
      <c r="AB676">
        <v>83</v>
      </c>
      <c r="AC676">
        <v>35</v>
      </c>
      <c r="AD676">
        <v>91</v>
      </c>
      <c r="AE676">
        <v>82</v>
      </c>
      <c r="AF676">
        <v>59</v>
      </c>
      <c r="AG676">
        <v>79</v>
      </c>
      <c r="AH676">
        <v>0</v>
      </c>
      <c r="AI676">
        <v>60</v>
      </c>
      <c r="AJ676">
        <v>732</v>
      </c>
      <c r="AK676">
        <v>750</v>
      </c>
      <c r="AL676">
        <v>173</v>
      </c>
      <c r="AM676">
        <v>0</v>
      </c>
      <c r="AN676">
        <v>2</v>
      </c>
      <c r="AO676">
        <v>2</v>
      </c>
      <c r="AP676">
        <v>2</v>
      </c>
      <c r="AQ676">
        <v>2</v>
      </c>
      <c r="AR676">
        <f t="shared" si="1592"/>
        <v>8</v>
      </c>
      <c r="AS676">
        <f>IF(AND(IFERROR(VLOOKUP(AJ676,Equip!$A:$N,13,FALSE),0)&gt;=5,IFERROR(VLOOKUP(AJ676,Equip!$A:$N,13,FALSE),0)&lt;=9),INT(VLOOKUP(AJ676,Equip!$A:$N,6,FALSE)*SQRT(AN676)),0)</f>
        <v>0</v>
      </c>
      <c r="AT676">
        <f>IF(AND(IFERROR(VLOOKUP(AK676,Equip!$A:$N,13,FALSE),0)&gt;=5,IFERROR(VLOOKUP(AK676,Equip!$A:$N,13,FALSE),0)&lt;=9),INT(VLOOKUP(AK676,Equip!$A:$N,6,FALSE)*SQRT(AO676)),0)</f>
        <v>0</v>
      </c>
      <c r="AU676">
        <f>IF(AND(IFERROR(VLOOKUP(AL676,Equip!$A:$N,13,FALSE),0)&gt;=5,IFERROR(VLOOKUP(AL676,Equip!$A:$N,13,FALSE),0)&lt;=9),INT(VLOOKUP(AL676,Equip!$A:$N,6,FALSE)*SQRT(AP676)),0)</f>
        <v>0</v>
      </c>
      <c r="AV676">
        <f>IF(AND(IFERROR(VLOOKUP(AM676,Equip!$A:$N,13,FALSE),0)&gt;=5,IFERROR(VLOOKUP(AM676,Equip!$A:$N,13,FALSE),0)&lt;=9),INT(VLOOKUP(AM676,Equip!$A:$N,6,FALSE)*SQRT(AQ676)),0)</f>
        <v>0</v>
      </c>
      <c r="AW676">
        <f t="shared" si="1582"/>
        <v>0</v>
      </c>
      <c r="AX676">
        <f t="shared" si="1583"/>
        <v>492</v>
      </c>
    </row>
    <row r="677" spans="1:50">
      <c r="A677">
        <v>708</v>
      </c>
      <c r="B677" t="s">
        <v>1017</v>
      </c>
      <c r="C677" t="s">
        <v>1018</v>
      </c>
      <c r="D677">
        <v>0</v>
      </c>
      <c r="E677">
        <v>2089</v>
      </c>
      <c r="F677">
        <v>1098</v>
      </c>
      <c r="G677">
        <v>708</v>
      </c>
      <c r="H677">
        <v>2</v>
      </c>
      <c r="I677">
        <v>6</v>
      </c>
      <c r="J677">
        <v>5</v>
      </c>
      <c r="K677">
        <v>2</v>
      </c>
      <c r="L677">
        <v>3</v>
      </c>
      <c r="M677">
        <v>33</v>
      </c>
      <c r="N677">
        <v>33</v>
      </c>
      <c r="O677">
        <v>32</v>
      </c>
      <c r="P677">
        <v>29</v>
      </c>
      <c r="Q677">
        <v>0</v>
      </c>
      <c r="R677">
        <v>31</v>
      </c>
      <c r="S677">
        <v>45</v>
      </c>
      <c r="T677">
        <v>25</v>
      </c>
      <c r="U677">
        <v>10</v>
      </c>
      <c r="V677">
        <v>12</v>
      </c>
      <c r="W677">
        <v>2</v>
      </c>
      <c r="X677">
        <v>15</v>
      </c>
      <c r="Y677">
        <v>0</v>
      </c>
      <c r="Z677">
        <v>30</v>
      </c>
      <c r="AA677">
        <v>35</v>
      </c>
      <c r="AB677">
        <v>60</v>
      </c>
      <c r="AC677">
        <v>22</v>
      </c>
      <c r="AD677">
        <v>70</v>
      </c>
      <c r="AE677">
        <v>51</v>
      </c>
      <c r="AF677">
        <v>59</v>
      </c>
      <c r="AG677">
        <v>66</v>
      </c>
      <c r="AH677">
        <v>55</v>
      </c>
      <c r="AI677">
        <v>52</v>
      </c>
      <c r="AJ677">
        <v>731</v>
      </c>
      <c r="AK677">
        <v>0</v>
      </c>
      <c r="AL677">
        <v>0</v>
      </c>
      <c r="AM677">
        <v>-1</v>
      </c>
      <c r="AN677">
        <v>3</v>
      </c>
      <c r="AO677">
        <v>3</v>
      </c>
      <c r="AP677">
        <v>3</v>
      </c>
      <c r="AQ677">
        <v>0</v>
      </c>
      <c r="AR677">
        <f t="shared" si="1592"/>
        <v>9</v>
      </c>
      <c r="AS677">
        <f>IF(AND(IFERROR(VLOOKUP(AJ677,Equip!$A:$N,13,FALSE),0)&gt;=5,IFERROR(VLOOKUP(AJ677,Equip!$A:$N,13,FALSE),0)&lt;=9),INT(VLOOKUP(AJ677,Equip!$A:$N,6,FALSE)*SQRT(AN677)),0)</f>
        <v>0</v>
      </c>
      <c r="AT677">
        <f>IF(AND(IFERROR(VLOOKUP(AK677,Equip!$A:$N,13,FALSE),0)&gt;=5,IFERROR(VLOOKUP(AK677,Equip!$A:$N,13,FALSE),0)&lt;=9),INT(VLOOKUP(AK677,Equip!$A:$N,6,FALSE)*SQRT(AO677)),0)</f>
        <v>0</v>
      </c>
      <c r="AU677">
        <f>IF(AND(IFERROR(VLOOKUP(AL677,Equip!$A:$N,13,FALSE),0)&gt;=5,IFERROR(VLOOKUP(AL677,Equip!$A:$N,13,FALSE),0)&lt;=9),INT(VLOOKUP(AL677,Equip!$A:$N,6,FALSE)*SQRT(AP677)),0)</f>
        <v>0</v>
      </c>
      <c r="AV677">
        <f>IF(AND(IFERROR(VLOOKUP(AM677,Equip!$A:$N,13,FALSE),0)&gt;=5,IFERROR(VLOOKUP(AM677,Equip!$A:$N,13,FALSE),0)&lt;=9),INT(VLOOKUP(AM677,Equip!$A:$N,6,FALSE)*SQRT(AQ677)),0)</f>
        <v>0</v>
      </c>
      <c r="AW677">
        <f t="shared" si="1582"/>
        <v>0</v>
      </c>
      <c r="AX677">
        <f t="shared" si="1583"/>
        <v>409</v>
      </c>
    </row>
    <row r="678" spans="1:50">
      <c r="A678">
        <v>708</v>
      </c>
      <c r="B678" t="s">
        <v>1017</v>
      </c>
      <c r="C678" t="s">
        <v>1018</v>
      </c>
      <c r="D678">
        <v>1</v>
      </c>
      <c r="E678">
        <f>E677</f>
        <v>2089</v>
      </c>
      <c r="F678">
        <f t="shared" ref="F678" si="1658">F677</f>
        <v>1098</v>
      </c>
      <c r="G678">
        <f t="shared" ref="G678" si="1659">G677</f>
        <v>708</v>
      </c>
      <c r="H678">
        <f t="shared" ref="H678" si="1660">H677</f>
        <v>2</v>
      </c>
      <c r="I678">
        <f t="shared" ref="I678" si="1661">I677</f>
        <v>6</v>
      </c>
      <c r="J678">
        <f t="shared" ref="J678" si="1662">J677</f>
        <v>5</v>
      </c>
      <c r="K678">
        <v>2</v>
      </c>
      <c r="L678">
        <v>3</v>
      </c>
      <c r="M678">
        <v>48</v>
      </c>
      <c r="N678">
        <v>48</v>
      </c>
      <c r="O678">
        <v>36</v>
      </c>
      <c r="P678">
        <v>37</v>
      </c>
      <c r="Q678">
        <v>0</v>
      </c>
      <c r="R678">
        <v>39</v>
      </c>
      <c r="S678">
        <v>55</v>
      </c>
      <c r="T678">
        <v>30</v>
      </c>
      <c r="U678">
        <f t="shared" ref="U678" si="1663">U677</f>
        <v>10</v>
      </c>
      <c r="V678">
        <v>22</v>
      </c>
      <c r="W678">
        <f t="shared" ref="W678" si="1664">W677</f>
        <v>2</v>
      </c>
      <c r="X678">
        <v>16</v>
      </c>
      <c r="Y678">
        <v>5</v>
      </c>
      <c r="Z678">
        <v>35</v>
      </c>
      <c r="AA678">
        <v>40</v>
      </c>
      <c r="AB678">
        <v>78</v>
      </c>
      <c r="AC678">
        <v>35</v>
      </c>
      <c r="AD678">
        <v>85</v>
      </c>
      <c r="AE678">
        <v>70</v>
      </c>
      <c r="AF678">
        <v>69</v>
      </c>
      <c r="AG678">
        <v>75</v>
      </c>
      <c r="AH678">
        <v>75</v>
      </c>
      <c r="AI678">
        <v>76</v>
      </c>
      <c r="AJ678">
        <v>731</v>
      </c>
      <c r="AK678">
        <v>770</v>
      </c>
      <c r="AL678">
        <v>0</v>
      </c>
      <c r="AM678">
        <v>0</v>
      </c>
      <c r="AN678">
        <v>3</v>
      </c>
      <c r="AO678">
        <v>3</v>
      </c>
      <c r="AP678">
        <v>3</v>
      </c>
      <c r="AQ678">
        <v>3</v>
      </c>
      <c r="AR678">
        <f t="shared" si="1592"/>
        <v>12</v>
      </c>
      <c r="AS678">
        <f>IF(AND(IFERROR(VLOOKUP(AJ678,Equip!$A:$N,13,FALSE),0)&gt;=5,IFERROR(VLOOKUP(AJ678,Equip!$A:$N,13,FALSE),0)&lt;=9),INT(VLOOKUP(AJ678,Equip!$A:$N,6,FALSE)*SQRT(AN678)),0)</f>
        <v>0</v>
      </c>
      <c r="AT678">
        <f>IF(AND(IFERROR(VLOOKUP(AK678,Equip!$A:$N,13,FALSE),0)&gt;=5,IFERROR(VLOOKUP(AK678,Equip!$A:$N,13,FALSE),0)&lt;=9),INT(VLOOKUP(AK678,Equip!$A:$N,6,FALSE)*SQRT(AO678)),0)</f>
        <v>0</v>
      </c>
      <c r="AU678">
        <f>IF(AND(IFERROR(VLOOKUP(AL678,Equip!$A:$N,13,FALSE),0)&gt;=5,IFERROR(VLOOKUP(AL678,Equip!$A:$N,13,FALSE),0)&lt;=9),INT(VLOOKUP(AL678,Equip!$A:$N,6,FALSE)*SQRT(AP678)),0)</f>
        <v>0</v>
      </c>
      <c r="AV678">
        <f>IF(AND(IFERROR(VLOOKUP(AM678,Equip!$A:$N,13,FALSE),0)&gt;=5,IFERROR(VLOOKUP(AM678,Equip!$A:$N,13,FALSE),0)&lt;=9),INT(VLOOKUP(AM678,Equip!$A:$N,6,FALSE)*SQRT(AQ678)),0)</f>
        <v>0</v>
      </c>
      <c r="AW678">
        <f t="shared" si="1582"/>
        <v>0</v>
      </c>
      <c r="AX678">
        <f t="shared" si="1583"/>
        <v>542</v>
      </c>
    </row>
    <row r="679" spans="1:50">
      <c r="A679">
        <v>709</v>
      </c>
      <c r="B679" t="s">
        <v>1019</v>
      </c>
      <c r="C679" t="s">
        <v>1020</v>
      </c>
      <c r="D679">
        <v>0</v>
      </c>
      <c r="E679">
        <v>1223</v>
      </c>
      <c r="F679">
        <v>715</v>
      </c>
      <c r="G679">
        <v>709</v>
      </c>
      <c r="H679">
        <v>0</v>
      </c>
      <c r="I679">
        <v>5</v>
      </c>
      <c r="J679">
        <v>3</v>
      </c>
      <c r="K679">
        <v>1</v>
      </c>
      <c r="L679">
        <v>1</v>
      </c>
      <c r="M679">
        <v>14</v>
      </c>
      <c r="N679">
        <v>14</v>
      </c>
      <c r="O679">
        <v>7</v>
      </c>
      <c r="P679">
        <v>5</v>
      </c>
      <c r="Q679">
        <v>18</v>
      </c>
      <c r="R679">
        <v>36</v>
      </c>
      <c r="S679">
        <v>15</v>
      </c>
      <c r="T679">
        <v>28</v>
      </c>
      <c r="U679">
        <v>10</v>
      </c>
      <c r="V679">
        <v>5</v>
      </c>
      <c r="W679">
        <v>1</v>
      </c>
      <c r="X679">
        <v>8</v>
      </c>
      <c r="Y679">
        <v>0</v>
      </c>
      <c r="Z679">
        <v>10</v>
      </c>
      <c r="AA679">
        <v>25</v>
      </c>
      <c r="AB679">
        <v>27</v>
      </c>
      <c r="AC679">
        <v>68</v>
      </c>
      <c r="AD679">
        <v>45</v>
      </c>
      <c r="AE679">
        <v>20</v>
      </c>
      <c r="AF679">
        <v>39</v>
      </c>
      <c r="AG679">
        <v>76</v>
      </c>
      <c r="AH679">
        <v>58</v>
      </c>
      <c r="AI679">
        <v>15</v>
      </c>
      <c r="AJ679">
        <v>723</v>
      </c>
      <c r="AK679">
        <v>773</v>
      </c>
      <c r="AL679">
        <v>-1</v>
      </c>
      <c r="AM679">
        <v>-1</v>
      </c>
      <c r="AN679">
        <v>0</v>
      </c>
      <c r="AO679">
        <v>0</v>
      </c>
      <c r="AP679">
        <v>0</v>
      </c>
      <c r="AQ679">
        <v>0</v>
      </c>
      <c r="AR679">
        <f t="shared" si="1592"/>
        <v>0</v>
      </c>
      <c r="AS679">
        <f>IF(AND(IFERROR(VLOOKUP(AJ679,Equip!$A:$N,13,FALSE),0)&gt;=5,IFERROR(VLOOKUP(AJ679,Equip!$A:$N,13,FALSE),0)&lt;=9),INT(VLOOKUP(AJ679,Equip!$A:$N,6,FALSE)*SQRT(AN679)),0)</f>
        <v>0</v>
      </c>
      <c r="AT679">
        <f>IF(AND(IFERROR(VLOOKUP(AK679,Equip!$A:$N,13,FALSE),0)&gt;=5,IFERROR(VLOOKUP(AK679,Equip!$A:$N,13,FALSE),0)&lt;=9),INT(VLOOKUP(AK679,Equip!$A:$N,6,FALSE)*SQRT(AO679)),0)</f>
        <v>0</v>
      </c>
      <c r="AU679">
        <f>IF(AND(IFERROR(VLOOKUP(AL679,Equip!$A:$N,13,FALSE),0)&gt;=5,IFERROR(VLOOKUP(AL679,Equip!$A:$N,13,FALSE),0)&lt;=9),INT(VLOOKUP(AL679,Equip!$A:$N,6,FALSE)*SQRT(AP679)),0)</f>
        <v>0</v>
      </c>
      <c r="AV679">
        <f>IF(AND(IFERROR(VLOOKUP(AM679,Equip!$A:$N,13,FALSE),0)&gt;=5,IFERROR(VLOOKUP(AM679,Equip!$A:$N,13,FALSE),0)&lt;=9),INT(VLOOKUP(AM679,Equip!$A:$N,6,FALSE)*SQRT(AQ679)),0)</f>
        <v>0</v>
      </c>
      <c r="AW679">
        <f t="shared" si="1582"/>
        <v>0</v>
      </c>
      <c r="AX679">
        <f t="shared" si="1583"/>
        <v>323</v>
      </c>
    </row>
    <row r="680" spans="1:50">
      <c r="A680">
        <v>709</v>
      </c>
      <c r="B680" t="s">
        <v>1019</v>
      </c>
      <c r="C680" t="s">
        <v>1020</v>
      </c>
      <c r="D680">
        <v>1</v>
      </c>
      <c r="E680">
        <f t="shared" ref="E680:E681" si="1665">E679</f>
        <v>1223</v>
      </c>
      <c r="F680">
        <f t="shared" ref="F680:F681" si="1666">F679</f>
        <v>715</v>
      </c>
      <c r="G680">
        <f t="shared" ref="G680:G681" si="1667">G679</f>
        <v>709</v>
      </c>
      <c r="H680">
        <f t="shared" ref="H680:H681" si="1668">H679</f>
        <v>0</v>
      </c>
      <c r="I680">
        <f t="shared" ref="I680:I681" si="1669">I679</f>
        <v>5</v>
      </c>
      <c r="J680">
        <f t="shared" ref="J680:J681" si="1670">J679</f>
        <v>3</v>
      </c>
      <c r="K680">
        <v>1</v>
      </c>
      <c r="L680">
        <v>1</v>
      </c>
      <c r="M680">
        <v>29</v>
      </c>
      <c r="N680">
        <v>29</v>
      </c>
      <c r="O680">
        <v>13</v>
      </c>
      <c r="P680">
        <v>17</v>
      </c>
      <c r="Q680">
        <v>24</v>
      </c>
      <c r="R680">
        <v>46</v>
      </c>
      <c r="S680">
        <v>20</v>
      </c>
      <c r="T680">
        <v>33</v>
      </c>
      <c r="U680">
        <f t="shared" ref="U680:U681" si="1671">U679</f>
        <v>10</v>
      </c>
      <c r="V680">
        <v>7</v>
      </c>
      <c r="W680">
        <f t="shared" ref="W680:W681" si="1672">W679</f>
        <v>1</v>
      </c>
      <c r="X680">
        <v>10</v>
      </c>
      <c r="Y680">
        <f t="shared" ref="Y680:Y681" si="1673">Y679</f>
        <v>0</v>
      </c>
      <c r="Z680">
        <v>10</v>
      </c>
      <c r="AA680">
        <v>25</v>
      </c>
      <c r="AB680">
        <v>38</v>
      </c>
      <c r="AC680">
        <v>79</v>
      </c>
      <c r="AD680">
        <v>50</v>
      </c>
      <c r="AE680">
        <v>47</v>
      </c>
      <c r="AF680">
        <v>54</v>
      </c>
      <c r="AG680">
        <v>86</v>
      </c>
      <c r="AH680">
        <v>73</v>
      </c>
      <c r="AI680">
        <v>36</v>
      </c>
      <c r="AJ680">
        <v>701</v>
      </c>
      <c r="AK680">
        <v>702</v>
      </c>
      <c r="AL680">
        <v>719</v>
      </c>
      <c r="AM680">
        <v>-1</v>
      </c>
      <c r="AN680">
        <v>0</v>
      </c>
      <c r="AO680">
        <v>0</v>
      </c>
      <c r="AP680">
        <v>3</v>
      </c>
      <c r="AQ680">
        <v>0</v>
      </c>
      <c r="AR680">
        <f t="shared" si="1592"/>
        <v>3</v>
      </c>
      <c r="AS680">
        <f>IF(AND(IFERROR(VLOOKUP(AJ680,Equip!$A:$N,13,FALSE),0)&gt;=5,IFERROR(VLOOKUP(AJ680,Equip!$A:$N,13,FALSE),0)&lt;=9),INT(VLOOKUP(AJ680,Equip!$A:$N,6,FALSE)*SQRT(AN680)),0)</f>
        <v>0</v>
      </c>
      <c r="AT680">
        <f>IF(AND(IFERROR(VLOOKUP(AK680,Equip!$A:$N,13,FALSE),0)&gt;=5,IFERROR(VLOOKUP(AK680,Equip!$A:$N,13,FALSE),0)&lt;=9),INT(VLOOKUP(AK680,Equip!$A:$N,6,FALSE)*SQRT(AO680)),0)</f>
        <v>0</v>
      </c>
      <c r="AU680">
        <f>IF(AND(IFERROR(VLOOKUP(AL680,Equip!$A:$N,13,FALSE),0)&gt;=5,IFERROR(VLOOKUP(AL680,Equip!$A:$N,13,FALSE),0)&lt;=9),INT(VLOOKUP(AL680,Equip!$A:$N,6,FALSE)*SQRT(AP680)),0)</f>
        <v>0</v>
      </c>
      <c r="AV680">
        <f>IF(AND(IFERROR(VLOOKUP(AM680,Equip!$A:$N,13,FALSE),0)&gt;=5,IFERROR(VLOOKUP(AM680,Equip!$A:$N,13,FALSE),0)&lt;=9),INT(VLOOKUP(AM680,Equip!$A:$N,6,FALSE)*SQRT(AQ680)),0)</f>
        <v>0</v>
      </c>
      <c r="AW680">
        <f t="shared" si="1582"/>
        <v>0</v>
      </c>
      <c r="AX680">
        <f t="shared" si="1583"/>
        <v>438</v>
      </c>
    </row>
    <row r="681" spans="1:50">
      <c r="A681">
        <v>709</v>
      </c>
      <c r="B681" t="s">
        <v>1019</v>
      </c>
      <c r="C681" t="s">
        <v>1020</v>
      </c>
      <c r="D681">
        <v>2</v>
      </c>
      <c r="E681">
        <f t="shared" si="1665"/>
        <v>1223</v>
      </c>
      <c r="F681">
        <f t="shared" si="1666"/>
        <v>715</v>
      </c>
      <c r="G681">
        <f t="shared" si="1667"/>
        <v>709</v>
      </c>
      <c r="H681">
        <f t="shared" si="1668"/>
        <v>0</v>
      </c>
      <c r="I681">
        <f t="shared" si="1669"/>
        <v>5</v>
      </c>
      <c r="J681">
        <f t="shared" si="1670"/>
        <v>3</v>
      </c>
      <c r="K681">
        <v>1</v>
      </c>
      <c r="L681">
        <v>1</v>
      </c>
      <c r="M681">
        <v>29</v>
      </c>
      <c r="N681">
        <v>29</v>
      </c>
      <c r="O681">
        <v>16</v>
      </c>
      <c r="P681">
        <v>27</v>
      </c>
      <c r="Q681">
        <v>27</v>
      </c>
      <c r="R681">
        <v>56</v>
      </c>
      <c r="S681">
        <v>30</v>
      </c>
      <c r="T681">
        <v>36</v>
      </c>
      <c r="U681">
        <f t="shared" si="1671"/>
        <v>10</v>
      </c>
      <c r="V681">
        <v>10</v>
      </c>
      <c r="W681">
        <f t="shared" si="1672"/>
        <v>1</v>
      </c>
      <c r="X681">
        <v>12</v>
      </c>
      <c r="Y681">
        <f t="shared" si="1673"/>
        <v>0</v>
      </c>
      <c r="Z681">
        <v>10</v>
      </c>
      <c r="AA681">
        <v>25</v>
      </c>
      <c r="AB681">
        <v>38</v>
      </c>
      <c r="AC681">
        <v>79</v>
      </c>
      <c r="AD681">
        <v>62</v>
      </c>
      <c r="AE681">
        <v>59</v>
      </c>
      <c r="AF681">
        <v>64</v>
      </c>
      <c r="AG681">
        <v>98</v>
      </c>
      <c r="AH681">
        <v>73</v>
      </c>
      <c r="AI681">
        <v>36</v>
      </c>
      <c r="AJ681">
        <v>701</v>
      </c>
      <c r="AK681">
        <v>702</v>
      </c>
      <c r="AL681">
        <v>0</v>
      </c>
      <c r="AM681">
        <v>-1</v>
      </c>
      <c r="AN681">
        <v>0</v>
      </c>
      <c r="AO681">
        <v>0</v>
      </c>
      <c r="AP681">
        <v>3</v>
      </c>
      <c r="AQ681">
        <v>0</v>
      </c>
      <c r="AR681">
        <f t="shared" si="1592"/>
        <v>3</v>
      </c>
      <c r="AS681">
        <f>IF(AND(IFERROR(VLOOKUP(AJ681,Equip!$A:$N,13,FALSE),0)&gt;=5,IFERROR(VLOOKUP(AJ681,Equip!$A:$N,13,FALSE),0)&lt;=9),INT(VLOOKUP(AJ681,Equip!$A:$N,6,FALSE)*SQRT(AN681)),0)</f>
        <v>0</v>
      </c>
      <c r="AT681">
        <f>IF(AND(IFERROR(VLOOKUP(AK681,Equip!$A:$N,13,FALSE),0)&gt;=5,IFERROR(VLOOKUP(AK681,Equip!$A:$N,13,FALSE),0)&lt;=9),INT(VLOOKUP(AK681,Equip!$A:$N,6,FALSE)*SQRT(AO681)),0)</f>
        <v>0</v>
      </c>
      <c r="AU681">
        <f>IF(AND(IFERROR(VLOOKUP(AL681,Equip!$A:$N,13,FALSE),0)&gt;=5,IFERROR(VLOOKUP(AL681,Equip!$A:$N,13,FALSE),0)&lt;=9),INT(VLOOKUP(AL681,Equip!$A:$N,6,FALSE)*SQRT(AP681)),0)</f>
        <v>0</v>
      </c>
      <c r="AV681">
        <f>IF(AND(IFERROR(VLOOKUP(AM681,Equip!$A:$N,13,FALSE),0)&gt;=5,IFERROR(VLOOKUP(AM681,Equip!$A:$N,13,FALSE),0)&lt;=9),INT(VLOOKUP(AM681,Equip!$A:$N,6,FALSE)*SQRT(AQ681)),0)</f>
        <v>0</v>
      </c>
      <c r="AW681">
        <f t="shared" si="1582"/>
        <v>0</v>
      </c>
      <c r="AX681">
        <f t="shared" si="1583"/>
        <v>474</v>
      </c>
    </row>
    <row r="682" spans="1:50">
      <c r="A682">
        <v>710</v>
      </c>
      <c r="B682" t="s">
        <v>1021</v>
      </c>
      <c r="C682" t="s">
        <v>1022</v>
      </c>
      <c r="D682">
        <v>0</v>
      </c>
      <c r="E682">
        <v>1243</v>
      </c>
      <c r="F682">
        <v>725</v>
      </c>
      <c r="G682">
        <v>710</v>
      </c>
      <c r="H682">
        <v>0</v>
      </c>
      <c r="I682">
        <v>5</v>
      </c>
      <c r="J682">
        <v>12</v>
      </c>
      <c r="K682">
        <v>1</v>
      </c>
      <c r="L682">
        <v>1</v>
      </c>
      <c r="M682">
        <v>14</v>
      </c>
      <c r="N682">
        <v>14</v>
      </c>
      <c r="O682">
        <v>9</v>
      </c>
      <c r="P682">
        <v>5</v>
      </c>
      <c r="Q682">
        <v>20</v>
      </c>
      <c r="R682">
        <v>36</v>
      </c>
      <c r="S682">
        <v>15</v>
      </c>
      <c r="T682">
        <v>28</v>
      </c>
      <c r="U682">
        <v>10</v>
      </c>
      <c r="V682">
        <v>5</v>
      </c>
      <c r="W682">
        <v>1</v>
      </c>
      <c r="X682">
        <v>10</v>
      </c>
      <c r="Y682">
        <v>0</v>
      </c>
      <c r="Z682">
        <v>10</v>
      </c>
      <c r="AA682">
        <v>25</v>
      </c>
      <c r="AB682">
        <v>29</v>
      </c>
      <c r="AC682">
        <v>70</v>
      </c>
      <c r="AD682">
        <v>45</v>
      </c>
      <c r="AE682">
        <v>20</v>
      </c>
      <c r="AF682">
        <v>49</v>
      </c>
      <c r="AG682">
        <v>76</v>
      </c>
      <c r="AH682">
        <v>58</v>
      </c>
      <c r="AI682">
        <v>15</v>
      </c>
      <c r="AJ682">
        <v>723</v>
      </c>
      <c r="AK682">
        <v>773</v>
      </c>
      <c r="AL682">
        <v>-1</v>
      </c>
      <c r="AM682">
        <v>-1</v>
      </c>
      <c r="AN682">
        <v>0</v>
      </c>
      <c r="AO682">
        <v>0</v>
      </c>
      <c r="AP682">
        <v>0</v>
      </c>
      <c r="AQ682">
        <v>0</v>
      </c>
      <c r="AR682">
        <f t="shared" si="1592"/>
        <v>0</v>
      </c>
      <c r="AS682">
        <f>IF(AND(IFERROR(VLOOKUP(AJ682,Equip!$A:$N,13,FALSE),0)&gt;=5,IFERROR(VLOOKUP(AJ682,Equip!$A:$N,13,FALSE),0)&lt;=9),INT(VLOOKUP(AJ682,Equip!$A:$N,6,FALSE)*SQRT(AN682)),0)</f>
        <v>0</v>
      </c>
      <c r="AT682">
        <f>IF(AND(IFERROR(VLOOKUP(AK682,Equip!$A:$N,13,FALSE),0)&gt;=5,IFERROR(VLOOKUP(AK682,Equip!$A:$N,13,FALSE),0)&lt;=9),INT(VLOOKUP(AK682,Equip!$A:$N,6,FALSE)*SQRT(AO682)),0)</f>
        <v>0</v>
      </c>
      <c r="AU682">
        <f>IF(AND(IFERROR(VLOOKUP(AL682,Equip!$A:$N,13,FALSE),0)&gt;=5,IFERROR(VLOOKUP(AL682,Equip!$A:$N,13,FALSE),0)&lt;=9),INT(VLOOKUP(AL682,Equip!$A:$N,6,FALSE)*SQRT(AP682)),0)</f>
        <v>0</v>
      </c>
      <c r="AV682">
        <f>IF(AND(IFERROR(VLOOKUP(AM682,Equip!$A:$N,13,FALSE),0)&gt;=5,IFERROR(VLOOKUP(AM682,Equip!$A:$N,13,FALSE),0)&lt;=9),INT(VLOOKUP(AM682,Equip!$A:$N,6,FALSE)*SQRT(AQ682)),0)</f>
        <v>0</v>
      </c>
      <c r="AW682">
        <f t="shared" si="1582"/>
        <v>0</v>
      </c>
      <c r="AX682">
        <f t="shared" si="1583"/>
        <v>327</v>
      </c>
    </row>
    <row r="683" spans="1:50">
      <c r="A683">
        <v>710</v>
      </c>
      <c r="B683" t="s">
        <v>1021</v>
      </c>
      <c r="C683" t="s">
        <v>1022</v>
      </c>
      <c r="D683">
        <v>1</v>
      </c>
      <c r="E683">
        <f t="shared" ref="E683:E684" si="1674">E682</f>
        <v>1243</v>
      </c>
      <c r="F683">
        <f t="shared" ref="F683:F684" si="1675">F682</f>
        <v>725</v>
      </c>
      <c r="G683">
        <f t="shared" ref="G683:G684" si="1676">G682</f>
        <v>710</v>
      </c>
      <c r="H683">
        <f t="shared" ref="H683:H684" si="1677">H682</f>
        <v>0</v>
      </c>
      <c r="I683">
        <f t="shared" ref="I683:I684" si="1678">I682</f>
        <v>5</v>
      </c>
      <c r="J683">
        <f t="shared" ref="J683:J684" si="1679">J682</f>
        <v>12</v>
      </c>
      <c r="K683">
        <v>1</v>
      </c>
      <c r="L683">
        <v>1</v>
      </c>
      <c r="M683">
        <v>29</v>
      </c>
      <c r="N683">
        <v>29</v>
      </c>
      <c r="O683">
        <v>15</v>
      </c>
      <c r="P683">
        <v>17</v>
      </c>
      <c r="Q683">
        <v>26</v>
      </c>
      <c r="R683">
        <v>46</v>
      </c>
      <c r="S683">
        <v>25</v>
      </c>
      <c r="T683">
        <v>33</v>
      </c>
      <c r="U683">
        <f t="shared" ref="U683:U684" si="1680">U682</f>
        <v>10</v>
      </c>
      <c r="V683">
        <v>7</v>
      </c>
      <c r="W683">
        <f t="shared" ref="W683:W684" si="1681">W682</f>
        <v>1</v>
      </c>
      <c r="X683">
        <v>12</v>
      </c>
      <c r="Y683">
        <f t="shared" ref="Y683:Y684" si="1682">Y682</f>
        <v>0</v>
      </c>
      <c r="Z683">
        <v>10</v>
      </c>
      <c r="AA683">
        <v>25</v>
      </c>
      <c r="AB683">
        <v>40</v>
      </c>
      <c r="AC683">
        <v>81</v>
      </c>
      <c r="AD683">
        <v>55</v>
      </c>
      <c r="AE683">
        <v>47</v>
      </c>
      <c r="AF683">
        <v>64</v>
      </c>
      <c r="AG683">
        <v>86</v>
      </c>
      <c r="AH683">
        <v>73</v>
      </c>
      <c r="AI683">
        <v>36</v>
      </c>
      <c r="AJ683">
        <v>723</v>
      </c>
      <c r="AK683">
        <v>773</v>
      </c>
      <c r="AL683">
        <v>780</v>
      </c>
      <c r="AM683">
        <v>-1</v>
      </c>
      <c r="AN683">
        <v>0</v>
      </c>
      <c r="AO683">
        <v>0</v>
      </c>
      <c r="AP683">
        <v>0</v>
      </c>
      <c r="AQ683">
        <v>0</v>
      </c>
      <c r="AR683">
        <f t="shared" si="1592"/>
        <v>0</v>
      </c>
      <c r="AS683">
        <f>IF(AND(IFERROR(VLOOKUP(AJ683,Equip!$A:$N,13,FALSE),0)&gt;=5,IFERROR(VLOOKUP(AJ683,Equip!$A:$N,13,FALSE),0)&lt;=9),INT(VLOOKUP(AJ683,Equip!$A:$N,6,FALSE)*SQRT(AN683)),0)</f>
        <v>0</v>
      </c>
      <c r="AT683">
        <f>IF(AND(IFERROR(VLOOKUP(AK683,Equip!$A:$N,13,FALSE),0)&gt;=5,IFERROR(VLOOKUP(AK683,Equip!$A:$N,13,FALSE),0)&lt;=9),INT(VLOOKUP(AK683,Equip!$A:$N,6,FALSE)*SQRT(AO683)),0)</f>
        <v>0</v>
      </c>
      <c r="AU683">
        <f>IF(AND(IFERROR(VLOOKUP(AL683,Equip!$A:$N,13,FALSE),0)&gt;=5,IFERROR(VLOOKUP(AL683,Equip!$A:$N,13,FALSE),0)&lt;=9),INT(VLOOKUP(AL683,Equip!$A:$N,6,FALSE)*SQRT(AP683)),0)</f>
        <v>0</v>
      </c>
      <c r="AV683">
        <f>IF(AND(IFERROR(VLOOKUP(AM683,Equip!$A:$N,13,FALSE),0)&gt;=5,IFERROR(VLOOKUP(AM683,Equip!$A:$N,13,FALSE),0)&lt;=9),INT(VLOOKUP(AM683,Equip!$A:$N,6,FALSE)*SQRT(AQ683)),0)</f>
        <v>0</v>
      </c>
      <c r="AW683">
        <f t="shared" si="1582"/>
        <v>0</v>
      </c>
      <c r="AX683">
        <f t="shared" si="1583"/>
        <v>447</v>
      </c>
    </row>
    <row r="684" spans="1:50">
      <c r="A684">
        <v>710</v>
      </c>
      <c r="B684" t="s">
        <v>1021</v>
      </c>
      <c r="C684" t="s">
        <v>1022</v>
      </c>
      <c r="D684">
        <v>2</v>
      </c>
      <c r="E684">
        <f t="shared" si="1674"/>
        <v>1243</v>
      </c>
      <c r="F684">
        <f t="shared" si="1675"/>
        <v>725</v>
      </c>
      <c r="G684">
        <f t="shared" si="1676"/>
        <v>710</v>
      </c>
      <c r="H684">
        <f t="shared" si="1677"/>
        <v>0</v>
      </c>
      <c r="I684">
        <f t="shared" si="1678"/>
        <v>5</v>
      </c>
      <c r="J684">
        <f t="shared" si="1679"/>
        <v>12</v>
      </c>
      <c r="K684">
        <v>1</v>
      </c>
      <c r="L684">
        <v>1</v>
      </c>
      <c r="M684">
        <v>31</v>
      </c>
      <c r="N684">
        <v>31</v>
      </c>
      <c r="O684">
        <v>18</v>
      </c>
      <c r="P684">
        <v>20</v>
      </c>
      <c r="Q684">
        <v>29</v>
      </c>
      <c r="R684">
        <v>53</v>
      </c>
      <c r="S684">
        <v>28</v>
      </c>
      <c r="T684">
        <v>53</v>
      </c>
      <c r="U684">
        <f t="shared" si="1680"/>
        <v>10</v>
      </c>
      <c r="V684">
        <v>10</v>
      </c>
      <c r="W684">
        <f t="shared" si="1681"/>
        <v>1</v>
      </c>
      <c r="X684">
        <v>13</v>
      </c>
      <c r="Y684">
        <f t="shared" si="1682"/>
        <v>0</v>
      </c>
      <c r="Z684">
        <v>10</v>
      </c>
      <c r="AA684">
        <v>25</v>
      </c>
      <c r="AB684">
        <v>40</v>
      </c>
      <c r="AC684">
        <v>81</v>
      </c>
      <c r="AD684">
        <v>55</v>
      </c>
      <c r="AE684">
        <v>49</v>
      </c>
      <c r="AF684">
        <v>69</v>
      </c>
      <c r="AG684">
        <v>93</v>
      </c>
      <c r="AH684">
        <v>95</v>
      </c>
      <c r="AI684">
        <v>38</v>
      </c>
      <c r="AJ684">
        <v>723</v>
      </c>
      <c r="AK684">
        <v>773</v>
      </c>
      <c r="AL684">
        <v>780</v>
      </c>
      <c r="AM684">
        <v>-1</v>
      </c>
      <c r="AN684">
        <v>0</v>
      </c>
      <c r="AO684">
        <v>0</v>
      </c>
      <c r="AP684">
        <v>0</v>
      </c>
      <c r="AQ684">
        <v>0</v>
      </c>
      <c r="AR684">
        <f t="shared" si="1592"/>
        <v>0</v>
      </c>
      <c r="AS684">
        <f>IF(AND(IFERROR(VLOOKUP(AJ684,Equip!$A:$N,13,FALSE),0)&gt;=5,IFERROR(VLOOKUP(AJ684,Equip!$A:$N,13,FALSE),0)&lt;=9),INT(VLOOKUP(AJ684,Equip!$A:$N,6,FALSE)*SQRT(AN684)),0)</f>
        <v>0</v>
      </c>
      <c r="AT684">
        <f>IF(AND(IFERROR(VLOOKUP(AK684,Equip!$A:$N,13,FALSE),0)&gt;=5,IFERROR(VLOOKUP(AK684,Equip!$A:$N,13,FALSE),0)&lt;=9),INT(VLOOKUP(AK684,Equip!$A:$N,6,FALSE)*SQRT(AO684)),0)</f>
        <v>0</v>
      </c>
      <c r="AU684">
        <f>IF(AND(IFERROR(VLOOKUP(AL684,Equip!$A:$N,13,FALSE),0)&gt;=5,IFERROR(VLOOKUP(AL684,Equip!$A:$N,13,FALSE),0)&lt;=9),INT(VLOOKUP(AL684,Equip!$A:$N,6,FALSE)*SQRT(AP684)),0)</f>
        <v>0</v>
      </c>
      <c r="AV684">
        <f>IF(AND(IFERROR(VLOOKUP(AM684,Equip!$A:$N,13,FALSE),0)&gt;=5,IFERROR(VLOOKUP(AM684,Equip!$A:$N,13,FALSE),0)&lt;=9),INT(VLOOKUP(AM684,Equip!$A:$N,6,FALSE)*SQRT(AQ684)),0)</f>
        <v>0</v>
      </c>
      <c r="AW684">
        <f t="shared" si="1582"/>
        <v>0</v>
      </c>
      <c r="AX684">
        <f t="shared" si="1583"/>
        <v>482</v>
      </c>
    </row>
    <row r="685" spans="1:50">
      <c r="A685">
        <v>711</v>
      </c>
      <c r="B685" t="s">
        <v>1023</v>
      </c>
      <c r="C685" t="s">
        <v>1024</v>
      </c>
      <c r="D685">
        <v>0</v>
      </c>
      <c r="E685">
        <v>1201</v>
      </c>
      <c r="F685">
        <v>724</v>
      </c>
      <c r="G685">
        <v>711</v>
      </c>
      <c r="H685">
        <v>0</v>
      </c>
      <c r="I685">
        <v>5</v>
      </c>
      <c r="J685">
        <v>5</v>
      </c>
      <c r="K685">
        <v>1</v>
      </c>
      <c r="L685">
        <v>1</v>
      </c>
      <c r="M685">
        <v>13</v>
      </c>
      <c r="N685">
        <v>13</v>
      </c>
      <c r="O685">
        <v>8</v>
      </c>
      <c r="P685">
        <v>4</v>
      </c>
      <c r="Q685">
        <v>5</v>
      </c>
      <c r="R685">
        <v>33</v>
      </c>
      <c r="S685">
        <v>12</v>
      </c>
      <c r="T685">
        <v>35</v>
      </c>
      <c r="U685">
        <v>5</v>
      </c>
      <c r="V685">
        <v>4</v>
      </c>
      <c r="W685">
        <v>1</v>
      </c>
      <c r="X685">
        <v>13</v>
      </c>
      <c r="Y685">
        <v>0</v>
      </c>
      <c r="Z685">
        <v>10</v>
      </c>
      <c r="AA685">
        <v>20</v>
      </c>
      <c r="AB685">
        <v>28</v>
      </c>
      <c r="AC685">
        <v>55</v>
      </c>
      <c r="AD685">
        <v>42</v>
      </c>
      <c r="AE685">
        <v>19</v>
      </c>
      <c r="AF685">
        <v>49</v>
      </c>
      <c r="AG685">
        <v>73</v>
      </c>
      <c r="AH685">
        <v>65</v>
      </c>
      <c r="AI685">
        <v>14</v>
      </c>
      <c r="AJ685">
        <v>722</v>
      </c>
      <c r="AK685">
        <v>0</v>
      </c>
      <c r="AL685">
        <v>-1</v>
      </c>
      <c r="AM685">
        <v>-1</v>
      </c>
      <c r="AN685">
        <v>0</v>
      </c>
      <c r="AO685">
        <v>0</v>
      </c>
      <c r="AP685">
        <v>0</v>
      </c>
      <c r="AQ685">
        <v>0</v>
      </c>
      <c r="AR685">
        <f t="shared" si="1592"/>
        <v>0</v>
      </c>
      <c r="AS685">
        <f>IF(AND(IFERROR(VLOOKUP(AJ685,Equip!$A:$N,13,FALSE),0)&gt;=5,IFERROR(VLOOKUP(AJ685,Equip!$A:$N,13,FALSE),0)&lt;=9),INT(VLOOKUP(AJ685,Equip!$A:$N,6,FALSE)*SQRT(AN685)),0)</f>
        <v>0</v>
      </c>
      <c r="AT685">
        <f>IF(AND(IFERROR(VLOOKUP(AK685,Equip!$A:$N,13,FALSE),0)&gt;=5,IFERROR(VLOOKUP(AK685,Equip!$A:$N,13,FALSE),0)&lt;=9),INT(VLOOKUP(AK685,Equip!$A:$N,6,FALSE)*SQRT(AO685)),0)</f>
        <v>0</v>
      </c>
      <c r="AU685">
        <f>IF(AND(IFERROR(VLOOKUP(AL685,Equip!$A:$N,13,FALSE),0)&gt;=5,IFERROR(VLOOKUP(AL685,Equip!$A:$N,13,FALSE),0)&lt;=9),INT(VLOOKUP(AL685,Equip!$A:$N,6,FALSE)*SQRT(AP685)),0)</f>
        <v>0</v>
      </c>
      <c r="AV685">
        <f>IF(AND(IFERROR(VLOOKUP(AM685,Equip!$A:$N,13,FALSE),0)&gt;=5,IFERROR(VLOOKUP(AM685,Equip!$A:$N,13,FALSE),0)&lt;=9),INT(VLOOKUP(AM685,Equip!$A:$N,6,FALSE)*SQRT(AQ685)),0)</f>
        <v>0</v>
      </c>
      <c r="AW685">
        <f t="shared" si="1582"/>
        <v>0</v>
      </c>
      <c r="AX685">
        <f t="shared" si="1583"/>
        <v>309</v>
      </c>
    </row>
    <row r="686" spans="1:50">
      <c r="A686">
        <v>711</v>
      </c>
      <c r="B686" t="s">
        <v>1023</v>
      </c>
      <c r="C686" t="s">
        <v>1024</v>
      </c>
      <c r="D686">
        <v>1</v>
      </c>
      <c r="E686">
        <f t="shared" ref="E686:E687" si="1683">E685</f>
        <v>1201</v>
      </c>
      <c r="F686">
        <f t="shared" ref="F686:F687" si="1684">F685</f>
        <v>724</v>
      </c>
      <c r="G686">
        <f t="shared" ref="G686:G687" si="1685">G685</f>
        <v>711</v>
      </c>
      <c r="H686">
        <f t="shared" ref="H686:H687" si="1686">H685</f>
        <v>0</v>
      </c>
      <c r="I686">
        <f t="shared" ref="I686:I687" si="1687">I685</f>
        <v>5</v>
      </c>
      <c r="J686">
        <f t="shared" ref="J686:J687" si="1688">J685</f>
        <v>5</v>
      </c>
      <c r="K686">
        <v>1</v>
      </c>
      <c r="L686">
        <v>1</v>
      </c>
      <c r="M686">
        <v>28</v>
      </c>
      <c r="N686">
        <v>28</v>
      </c>
      <c r="O686">
        <v>14</v>
      </c>
      <c r="P686">
        <v>15</v>
      </c>
      <c r="Q686">
        <v>10</v>
      </c>
      <c r="R686">
        <v>43</v>
      </c>
      <c r="S686">
        <v>22</v>
      </c>
      <c r="T686">
        <v>40</v>
      </c>
      <c r="U686">
        <f t="shared" ref="U686:U687" si="1689">U685</f>
        <v>5</v>
      </c>
      <c r="V686">
        <v>6</v>
      </c>
      <c r="W686">
        <f t="shared" ref="W686:W687" si="1690">W685</f>
        <v>1</v>
      </c>
      <c r="X686">
        <v>15</v>
      </c>
      <c r="Y686">
        <f t="shared" ref="Y686:Y687" si="1691">Y685</f>
        <v>0</v>
      </c>
      <c r="Z686">
        <v>10</v>
      </c>
      <c r="AA686">
        <v>20</v>
      </c>
      <c r="AB686">
        <v>37</v>
      </c>
      <c r="AC686">
        <v>65</v>
      </c>
      <c r="AD686">
        <v>52</v>
      </c>
      <c r="AE686">
        <v>45</v>
      </c>
      <c r="AF686">
        <v>69</v>
      </c>
      <c r="AG686">
        <v>83</v>
      </c>
      <c r="AH686">
        <v>80</v>
      </c>
      <c r="AI686">
        <v>35</v>
      </c>
      <c r="AJ686">
        <v>723</v>
      </c>
      <c r="AK686">
        <v>0</v>
      </c>
      <c r="AL686">
        <v>0</v>
      </c>
      <c r="AM686">
        <v>-1</v>
      </c>
      <c r="AN686">
        <v>0</v>
      </c>
      <c r="AO686">
        <v>0</v>
      </c>
      <c r="AP686">
        <v>0</v>
      </c>
      <c r="AQ686">
        <v>0</v>
      </c>
      <c r="AR686">
        <f t="shared" si="1592"/>
        <v>0</v>
      </c>
      <c r="AS686">
        <f>IF(AND(IFERROR(VLOOKUP(AJ686,Equip!$A:$N,13,FALSE),0)&gt;=5,IFERROR(VLOOKUP(AJ686,Equip!$A:$N,13,FALSE),0)&lt;=9),INT(VLOOKUP(AJ686,Equip!$A:$N,6,FALSE)*SQRT(AN686)),0)</f>
        <v>0</v>
      </c>
      <c r="AT686">
        <f>IF(AND(IFERROR(VLOOKUP(AK686,Equip!$A:$N,13,FALSE),0)&gt;=5,IFERROR(VLOOKUP(AK686,Equip!$A:$N,13,FALSE),0)&lt;=9),INT(VLOOKUP(AK686,Equip!$A:$N,6,FALSE)*SQRT(AO686)),0)</f>
        <v>0</v>
      </c>
      <c r="AU686">
        <f>IF(AND(IFERROR(VLOOKUP(AL686,Equip!$A:$N,13,FALSE),0)&gt;=5,IFERROR(VLOOKUP(AL686,Equip!$A:$N,13,FALSE),0)&lt;=9),INT(VLOOKUP(AL686,Equip!$A:$N,6,FALSE)*SQRT(AP686)),0)</f>
        <v>0</v>
      </c>
      <c r="AV686">
        <f>IF(AND(IFERROR(VLOOKUP(AM686,Equip!$A:$N,13,FALSE),0)&gt;=5,IFERROR(VLOOKUP(AM686,Equip!$A:$N,13,FALSE),0)&lt;=9),INT(VLOOKUP(AM686,Equip!$A:$N,6,FALSE)*SQRT(AQ686)),0)</f>
        <v>0</v>
      </c>
      <c r="AW686">
        <f t="shared" si="1582"/>
        <v>0</v>
      </c>
      <c r="AX686">
        <f t="shared" si="1583"/>
        <v>425</v>
      </c>
    </row>
    <row r="687" spans="1:50">
      <c r="A687">
        <v>711</v>
      </c>
      <c r="B687" t="s">
        <v>1023</v>
      </c>
      <c r="C687" t="s">
        <v>1024</v>
      </c>
      <c r="D687">
        <v>2</v>
      </c>
      <c r="E687">
        <f t="shared" si="1683"/>
        <v>1201</v>
      </c>
      <c r="F687">
        <f t="shared" si="1684"/>
        <v>724</v>
      </c>
      <c r="G687">
        <f t="shared" si="1685"/>
        <v>711</v>
      </c>
      <c r="H687">
        <f t="shared" si="1686"/>
        <v>0</v>
      </c>
      <c r="I687">
        <f t="shared" si="1687"/>
        <v>5</v>
      </c>
      <c r="J687">
        <f t="shared" si="1688"/>
        <v>5</v>
      </c>
      <c r="K687">
        <v>1</v>
      </c>
      <c r="L687">
        <v>1</v>
      </c>
      <c r="M687">
        <v>28</v>
      </c>
      <c r="N687">
        <v>28</v>
      </c>
      <c r="O687">
        <v>18</v>
      </c>
      <c r="P687">
        <v>15</v>
      </c>
      <c r="Q687">
        <v>20</v>
      </c>
      <c r="R687">
        <v>52</v>
      </c>
      <c r="S687">
        <v>22</v>
      </c>
      <c r="T687">
        <v>50</v>
      </c>
      <c r="U687">
        <f t="shared" si="1689"/>
        <v>5</v>
      </c>
      <c r="V687">
        <v>7</v>
      </c>
      <c r="W687">
        <f t="shared" si="1690"/>
        <v>1</v>
      </c>
      <c r="X687">
        <v>16</v>
      </c>
      <c r="Y687">
        <f t="shared" si="1691"/>
        <v>0</v>
      </c>
      <c r="Z687">
        <v>10</v>
      </c>
      <c r="AA687">
        <v>20</v>
      </c>
      <c r="AB687">
        <v>40</v>
      </c>
      <c r="AC687">
        <v>75</v>
      </c>
      <c r="AD687">
        <v>52</v>
      </c>
      <c r="AE687">
        <v>45</v>
      </c>
      <c r="AF687">
        <v>69</v>
      </c>
      <c r="AG687">
        <v>92</v>
      </c>
      <c r="AH687">
        <v>90</v>
      </c>
      <c r="AI687">
        <v>36</v>
      </c>
      <c r="AJ687">
        <v>781</v>
      </c>
      <c r="AK687">
        <v>0</v>
      </c>
      <c r="AL687">
        <v>0</v>
      </c>
      <c r="AM687">
        <v>-1</v>
      </c>
      <c r="AN687">
        <v>0</v>
      </c>
      <c r="AO687">
        <v>0</v>
      </c>
      <c r="AP687">
        <v>0</v>
      </c>
      <c r="AQ687">
        <v>0</v>
      </c>
      <c r="AR687">
        <f t="shared" si="1592"/>
        <v>0</v>
      </c>
      <c r="AS687">
        <f>IF(AND(IFERROR(VLOOKUP(AJ687,Equip!$A:$N,13,FALSE),0)&gt;=5,IFERROR(VLOOKUP(AJ687,Equip!$A:$N,13,FALSE),0)&lt;=9),INT(VLOOKUP(AJ687,Equip!$A:$N,6,FALSE)*SQRT(AN687)),0)</f>
        <v>0</v>
      </c>
      <c r="AT687">
        <f>IF(AND(IFERROR(VLOOKUP(AK687,Equip!$A:$N,13,FALSE),0)&gt;=5,IFERROR(VLOOKUP(AK687,Equip!$A:$N,13,FALSE),0)&lt;=9),INT(VLOOKUP(AK687,Equip!$A:$N,6,FALSE)*SQRT(AO687)),0)</f>
        <v>0</v>
      </c>
      <c r="AU687">
        <f>IF(AND(IFERROR(VLOOKUP(AL687,Equip!$A:$N,13,FALSE),0)&gt;=5,IFERROR(VLOOKUP(AL687,Equip!$A:$N,13,FALSE),0)&lt;=9),INT(VLOOKUP(AL687,Equip!$A:$N,6,FALSE)*SQRT(AP687)),0)</f>
        <v>0</v>
      </c>
      <c r="AV687">
        <f>IF(AND(IFERROR(VLOOKUP(AM687,Equip!$A:$N,13,FALSE),0)&gt;=5,IFERROR(VLOOKUP(AM687,Equip!$A:$N,13,FALSE),0)&lt;=9),INT(VLOOKUP(AM687,Equip!$A:$N,6,FALSE)*SQRT(AQ687)),0)</f>
        <v>0</v>
      </c>
      <c r="AW687">
        <f t="shared" si="1582"/>
        <v>0</v>
      </c>
      <c r="AX687">
        <f t="shared" si="1583"/>
        <v>458</v>
      </c>
    </row>
    <row r="688" spans="1:50">
      <c r="A688">
        <v>712</v>
      </c>
      <c r="B688" t="s">
        <v>1256</v>
      </c>
      <c r="C688" t="s">
        <v>1025</v>
      </c>
      <c r="D688">
        <v>0</v>
      </c>
      <c r="E688">
        <v>2430</v>
      </c>
      <c r="F688">
        <v>1280</v>
      </c>
      <c r="G688">
        <v>712</v>
      </c>
      <c r="H688">
        <v>0</v>
      </c>
      <c r="I688">
        <v>3</v>
      </c>
      <c r="J688">
        <v>5</v>
      </c>
      <c r="K688">
        <v>8</v>
      </c>
      <c r="L688">
        <v>8</v>
      </c>
      <c r="M688">
        <v>88</v>
      </c>
      <c r="N688">
        <v>88</v>
      </c>
      <c r="O688">
        <v>80</v>
      </c>
      <c r="P688">
        <v>74</v>
      </c>
      <c r="Q688">
        <v>0</v>
      </c>
      <c r="R688">
        <v>28</v>
      </c>
      <c r="S688">
        <v>42</v>
      </c>
      <c r="T688">
        <v>0</v>
      </c>
      <c r="U688">
        <v>10</v>
      </c>
      <c r="V688">
        <v>17</v>
      </c>
      <c r="W688">
        <v>4</v>
      </c>
      <c r="X688">
        <v>23</v>
      </c>
      <c r="Y688">
        <v>0</v>
      </c>
      <c r="Z688">
        <v>130</v>
      </c>
      <c r="AA688">
        <v>150</v>
      </c>
      <c r="AB688">
        <v>99</v>
      </c>
      <c r="AC688">
        <v>0</v>
      </c>
      <c r="AD688">
        <v>72</v>
      </c>
      <c r="AE688">
        <v>88</v>
      </c>
      <c r="AF688">
        <v>67</v>
      </c>
      <c r="AG688">
        <v>55</v>
      </c>
      <c r="AH688">
        <v>0</v>
      </c>
      <c r="AI688">
        <v>46</v>
      </c>
      <c r="AJ688">
        <v>133</v>
      </c>
      <c r="AK688">
        <v>134</v>
      </c>
      <c r="AL688">
        <v>136</v>
      </c>
      <c r="AM688">
        <v>709</v>
      </c>
      <c r="AN688">
        <v>3</v>
      </c>
      <c r="AO688">
        <v>3</v>
      </c>
      <c r="AP688">
        <v>3</v>
      </c>
      <c r="AQ688">
        <v>3</v>
      </c>
      <c r="AR688">
        <f t="shared" si="1592"/>
        <v>12</v>
      </c>
      <c r="AS688">
        <f>IF(AND(IFERROR(VLOOKUP(AJ688,Equip!$A:$N,13,FALSE),0)&gt;=5,IFERROR(VLOOKUP(AJ688,Equip!$A:$N,13,FALSE),0)&lt;=9),INT(VLOOKUP(AJ688,Equip!$A:$N,6,FALSE)*SQRT(AN688)),0)</f>
        <v>0</v>
      </c>
      <c r="AT688">
        <f>IF(AND(IFERROR(VLOOKUP(AK688,Equip!$A:$N,13,FALSE),0)&gt;=5,IFERROR(VLOOKUP(AK688,Equip!$A:$N,13,FALSE),0)&lt;=9),INT(VLOOKUP(AK688,Equip!$A:$N,6,FALSE)*SQRT(AO688)),0)</f>
        <v>0</v>
      </c>
      <c r="AU688">
        <f>IF(AND(IFERROR(VLOOKUP(AL688,Equip!$A:$N,13,FALSE),0)&gt;=5,IFERROR(VLOOKUP(AL688,Equip!$A:$N,13,FALSE),0)&lt;=9),INT(VLOOKUP(AL688,Equip!$A:$N,6,FALSE)*SQRT(AP688)),0)</f>
        <v>0</v>
      </c>
      <c r="AV688">
        <f>IF(AND(IFERROR(VLOOKUP(AM688,Equip!$A:$N,13,FALSE),0)&gt;=5,IFERROR(VLOOKUP(AM688,Equip!$A:$N,13,FALSE),0)&lt;=9),INT(VLOOKUP(AM688,Equip!$A:$N,6,FALSE)*SQRT(AQ688)),0)</f>
        <v>0</v>
      </c>
      <c r="AW688">
        <f t="shared" si="1582"/>
        <v>0</v>
      </c>
      <c r="AX688">
        <f t="shared" si="1583"/>
        <v>448</v>
      </c>
    </row>
    <row r="689" spans="1:50">
      <c r="A689">
        <v>712</v>
      </c>
      <c r="B689" t="s">
        <v>1256</v>
      </c>
      <c r="C689" t="s">
        <v>1025</v>
      </c>
      <c r="D689">
        <v>1</v>
      </c>
      <c r="E689">
        <f>E688</f>
        <v>2430</v>
      </c>
      <c r="F689">
        <f t="shared" ref="F689" si="1692">F688</f>
        <v>1280</v>
      </c>
      <c r="G689">
        <f t="shared" ref="G689" si="1693">G688</f>
        <v>712</v>
      </c>
      <c r="H689">
        <f t="shared" ref="H689" si="1694">H688</f>
        <v>0</v>
      </c>
      <c r="I689">
        <f t="shared" ref="I689" si="1695">I688</f>
        <v>3</v>
      </c>
      <c r="J689">
        <f t="shared" ref="J689" si="1696">J688</f>
        <v>5</v>
      </c>
      <c r="K689">
        <v>8</v>
      </c>
      <c r="L689">
        <v>8</v>
      </c>
      <c r="M689">
        <v>92</v>
      </c>
      <c r="N689">
        <v>92</v>
      </c>
      <c r="O689">
        <v>83</v>
      </c>
      <c r="P689">
        <v>74</v>
      </c>
      <c r="Q689">
        <v>0</v>
      </c>
      <c r="R689">
        <v>36</v>
      </c>
      <c r="S689">
        <v>50</v>
      </c>
      <c r="T689">
        <v>0</v>
      </c>
      <c r="U689">
        <f t="shared" ref="U689" si="1697">U688</f>
        <v>10</v>
      </c>
      <c r="V689">
        <v>29</v>
      </c>
      <c r="W689">
        <f t="shared" ref="W689" si="1698">W688</f>
        <v>4</v>
      </c>
      <c r="X689">
        <v>32</v>
      </c>
      <c r="Y689">
        <f t="shared" ref="Y689" si="1699">Y688</f>
        <v>0</v>
      </c>
      <c r="Z689">
        <v>140</v>
      </c>
      <c r="AA689">
        <v>170</v>
      </c>
      <c r="AB689">
        <v>105</v>
      </c>
      <c r="AC689">
        <v>0</v>
      </c>
      <c r="AD689">
        <v>92</v>
      </c>
      <c r="AE689">
        <v>94</v>
      </c>
      <c r="AF689">
        <v>84</v>
      </c>
      <c r="AG689">
        <v>77</v>
      </c>
      <c r="AH689">
        <v>0</v>
      </c>
      <c r="AI689">
        <v>52</v>
      </c>
      <c r="AJ689">
        <v>137</v>
      </c>
      <c r="AK689">
        <v>134</v>
      </c>
      <c r="AL689">
        <v>135</v>
      </c>
      <c r="AM689">
        <v>0</v>
      </c>
      <c r="AN689">
        <v>3</v>
      </c>
      <c r="AO689">
        <v>3</v>
      </c>
      <c r="AP689">
        <v>3</v>
      </c>
      <c r="AQ689">
        <v>3</v>
      </c>
      <c r="AR689">
        <f t="shared" si="1592"/>
        <v>12</v>
      </c>
      <c r="AS689">
        <f>IF(AND(IFERROR(VLOOKUP(AJ689,Equip!$A:$N,13,FALSE),0)&gt;=5,IFERROR(VLOOKUP(AJ689,Equip!$A:$N,13,FALSE),0)&lt;=9),INT(VLOOKUP(AJ689,Equip!$A:$N,6,FALSE)*SQRT(AN689)),0)</f>
        <v>0</v>
      </c>
      <c r="AT689">
        <f>IF(AND(IFERROR(VLOOKUP(AK689,Equip!$A:$N,13,FALSE),0)&gt;=5,IFERROR(VLOOKUP(AK689,Equip!$A:$N,13,FALSE),0)&lt;=9),INT(VLOOKUP(AK689,Equip!$A:$N,6,FALSE)*SQRT(AO689)),0)</f>
        <v>0</v>
      </c>
      <c r="AU689">
        <f>IF(AND(IFERROR(VLOOKUP(AL689,Equip!$A:$N,13,FALSE),0)&gt;=5,IFERROR(VLOOKUP(AL689,Equip!$A:$N,13,FALSE),0)&lt;=9),INT(VLOOKUP(AL689,Equip!$A:$N,6,FALSE)*SQRT(AP689)),0)</f>
        <v>0</v>
      </c>
      <c r="AV689">
        <f>IF(AND(IFERROR(VLOOKUP(AM689,Equip!$A:$N,13,FALSE),0)&gt;=5,IFERROR(VLOOKUP(AM689,Equip!$A:$N,13,FALSE),0)&lt;=9),INT(VLOOKUP(AM689,Equip!$A:$N,6,FALSE)*SQRT(AQ689)),0)</f>
        <v>0</v>
      </c>
      <c r="AW689">
        <f t="shared" si="1582"/>
        <v>0</v>
      </c>
      <c r="AX689">
        <f t="shared" si="1583"/>
        <v>512</v>
      </c>
    </row>
    <row r="690" spans="1:50">
      <c r="A690">
        <v>713</v>
      </c>
      <c r="B690" t="s">
        <v>1026</v>
      </c>
      <c r="C690" t="s">
        <v>1027</v>
      </c>
      <c r="D690">
        <v>0</v>
      </c>
      <c r="E690">
        <v>2850</v>
      </c>
      <c r="F690">
        <v>1530</v>
      </c>
      <c r="G690">
        <v>713</v>
      </c>
      <c r="H690">
        <v>3</v>
      </c>
      <c r="I690">
        <v>8</v>
      </c>
      <c r="J690">
        <v>1</v>
      </c>
      <c r="K690">
        <v>8</v>
      </c>
      <c r="L690">
        <v>8</v>
      </c>
      <c r="M690">
        <v>91</v>
      </c>
      <c r="N690">
        <v>91</v>
      </c>
      <c r="O690">
        <v>75</v>
      </c>
      <c r="P690">
        <v>78</v>
      </c>
      <c r="Q690">
        <v>0</v>
      </c>
      <c r="R690">
        <v>29</v>
      </c>
      <c r="S690">
        <v>42</v>
      </c>
      <c r="T690">
        <v>0</v>
      </c>
      <c r="U690">
        <v>10</v>
      </c>
      <c r="V690">
        <v>16</v>
      </c>
      <c r="W690">
        <v>3</v>
      </c>
      <c r="X690">
        <v>24</v>
      </c>
      <c r="Y690">
        <v>0</v>
      </c>
      <c r="Z690">
        <v>130</v>
      </c>
      <c r="AA690">
        <v>135</v>
      </c>
      <c r="AB690">
        <v>94</v>
      </c>
      <c r="AC690">
        <v>0</v>
      </c>
      <c r="AD690">
        <v>72</v>
      </c>
      <c r="AE690">
        <v>92</v>
      </c>
      <c r="AF690">
        <v>67</v>
      </c>
      <c r="AG690">
        <v>56</v>
      </c>
      <c r="AH690">
        <v>0</v>
      </c>
      <c r="AI690">
        <v>45</v>
      </c>
      <c r="AJ690">
        <v>778</v>
      </c>
      <c r="AK690">
        <v>716</v>
      </c>
      <c r="AL690">
        <v>0</v>
      </c>
      <c r="AM690">
        <v>0</v>
      </c>
      <c r="AN690">
        <v>3</v>
      </c>
      <c r="AO690">
        <v>3</v>
      </c>
      <c r="AP690">
        <v>3</v>
      </c>
      <c r="AQ690">
        <v>3</v>
      </c>
      <c r="AR690">
        <f t="shared" si="1592"/>
        <v>12</v>
      </c>
      <c r="AS690">
        <f>IF(AND(IFERROR(VLOOKUP(AJ690,Equip!$A:$N,13,FALSE),0)&gt;=5,IFERROR(VLOOKUP(AJ690,Equip!$A:$N,13,FALSE),0)&lt;=9),INT(VLOOKUP(AJ690,Equip!$A:$N,6,FALSE)*SQRT(AN690)),0)</f>
        <v>0</v>
      </c>
      <c r="AT690">
        <f>IF(AND(IFERROR(VLOOKUP(AK690,Equip!$A:$N,13,FALSE),0)&gt;=5,IFERROR(VLOOKUP(AK690,Equip!$A:$N,13,FALSE),0)&lt;=9),INT(VLOOKUP(AK690,Equip!$A:$N,6,FALSE)*SQRT(AO690)),0)</f>
        <v>0</v>
      </c>
      <c r="AU690">
        <f>IF(AND(IFERROR(VLOOKUP(AL690,Equip!$A:$N,13,FALSE),0)&gt;=5,IFERROR(VLOOKUP(AL690,Equip!$A:$N,13,FALSE),0)&lt;=9),INT(VLOOKUP(AL690,Equip!$A:$N,6,FALSE)*SQRT(AP690)),0)</f>
        <v>0</v>
      </c>
      <c r="AV690">
        <f>IF(AND(IFERROR(VLOOKUP(AM690,Equip!$A:$N,13,FALSE),0)&gt;=5,IFERROR(VLOOKUP(AM690,Equip!$A:$N,13,FALSE),0)&lt;=9),INT(VLOOKUP(AM690,Equip!$A:$N,6,FALSE)*SQRT(AQ690)),0)</f>
        <v>0</v>
      </c>
      <c r="AW690">
        <f t="shared" si="1582"/>
        <v>0</v>
      </c>
      <c r="AX690">
        <f t="shared" si="1583"/>
        <v>450</v>
      </c>
    </row>
    <row r="691" spans="1:50">
      <c r="A691">
        <v>713</v>
      </c>
      <c r="B691" t="s">
        <v>1026</v>
      </c>
      <c r="C691" t="s">
        <v>1027</v>
      </c>
      <c r="D691">
        <v>1</v>
      </c>
      <c r="E691">
        <f t="shared" ref="E691:E692" si="1700">E690</f>
        <v>2850</v>
      </c>
      <c r="F691">
        <f t="shared" ref="F691:F692" si="1701">F690</f>
        <v>1530</v>
      </c>
      <c r="G691">
        <f t="shared" ref="G691:G692" si="1702">G690</f>
        <v>713</v>
      </c>
      <c r="H691">
        <f t="shared" ref="H691:H692" si="1703">H690</f>
        <v>3</v>
      </c>
      <c r="I691">
        <f t="shared" ref="I691:I692" si="1704">I690</f>
        <v>8</v>
      </c>
      <c r="J691">
        <f t="shared" ref="J691:J692" si="1705">J690</f>
        <v>1</v>
      </c>
      <c r="K691">
        <v>8</v>
      </c>
      <c r="L691">
        <v>8</v>
      </c>
      <c r="M691">
        <v>97</v>
      </c>
      <c r="N691">
        <v>97</v>
      </c>
      <c r="O691">
        <v>78</v>
      </c>
      <c r="P691">
        <v>78</v>
      </c>
      <c r="Q691">
        <v>0</v>
      </c>
      <c r="R691">
        <v>37</v>
      </c>
      <c r="S691">
        <v>55</v>
      </c>
      <c r="T691">
        <v>0</v>
      </c>
      <c r="U691">
        <f t="shared" ref="U691:U692" si="1706">U690</f>
        <v>10</v>
      </c>
      <c r="V691">
        <v>28</v>
      </c>
      <c r="W691">
        <f t="shared" ref="W691:W692" si="1707">W690</f>
        <v>3</v>
      </c>
      <c r="X691">
        <v>26</v>
      </c>
      <c r="Y691">
        <f t="shared" ref="Y691" si="1708">Y690</f>
        <v>0</v>
      </c>
      <c r="Z691">
        <v>140</v>
      </c>
      <c r="AA691">
        <v>160</v>
      </c>
      <c r="AB691">
        <v>100</v>
      </c>
      <c r="AC691">
        <v>0</v>
      </c>
      <c r="AD691">
        <v>99</v>
      </c>
      <c r="AE691">
        <v>97</v>
      </c>
      <c r="AF691">
        <v>77</v>
      </c>
      <c r="AG691">
        <v>77</v>
      </c>
      <c r="AH691">
        <v>0</v>
      </c>
      <c r="AI691">
        <v>50</v>
      </c>
      <c r="AJ691">
        <v>245</v>
      </c>
      <c r="AK691">
        <v>173</v>
      </c>
      <c r="AL691">
        <v>173</v>
      </c>
      <c r="AM691">
        <v>0</v>
      </c>
      <c r="AN691">
        <v>3</v>
      </c>
      <c r="AO691">
        <v>3</v>
      </c>
      <c r="AP691">
        <v>3</v>
      </c>
      <c r="AQ691">
        <v>3</v>
      </c>
      <c r="AR691">
        <f t="shared" si="1592"/>
        <v>12</v>
      </c>
      <c r="AS691">
        <f>IF(AND(IFERROR(VLOOKUP(AJ691,Equip!$A:$N,13,FALSE),0)&gt;=5,IFERROR(VLOOKUP(AJ691,Equip!$A:$N,13,FALSE),0)&lt;=9),INT(VLOOKUP(AJ691,Equip!$A:$N,6,FALSE)*SQRT(AN691)),0)</f>
        <v>0</v>
      </c>
      <c r="AT691">
        <f>IF(AND(IFERROR(VLOOKUP(AK691,Equip!$A:$N,13,FALSE),0)&gt;=5,IFERROR(VLOOKUP(AK691,Equip!$A:$N,13,FALSE),0)&lt;=9),INT(VLOOKUP(AK691,Equip!$A:$N,6,FALSE)*SQRT(AO691)),0)</f>
        <v>0</v>
      </c>
      <c r="AU691">
        <f>IF(AND(IFERROR(VLOOKUP(AL691,Equip!$A:$N,13,FALSE),0)&gt;=5,IFERROR(VLOOKUP(AL691,Equip!$A:$N,13,FALSE),0)&lt;=9),INT(VLOOKUP(AL691,Equip!$A:$N,6,FALSE)*SQRT(AP691)),0)</f>
        <v>0</v>
      </c>
      <c r="AV691">
        <f>IF(AND(IFERROR(VLOOKUP(AM691,Equip!$A:$N,13,FALSE),0)&gt;=5,IFERROR(VLOOKUP(AM691,Equip!$A:$N,13,FALSE),0)&lt;=9),INT(VLOOKUP(AM691,Equip!$A:$N,6,FALSE)*SQRT(AQ691)),0)</f>
        <v>0</v>
      </c>
      <c r="AW691">
        <f t="shared" si="1582"/>
        <v>0</v>
      </c>
      <c r="AX691">
        <f t="shared" si="1583"/>
        <v>520</v>
      </c>
    </row>
    <row r="692" spans="1:50">
      <c r="A692">
        <v>713</v>
      </c>
      <c r="B692" t="s">
        <v>1026</v>
      </c>
      <c r="C692" t="s">
        <v>1027</v>
      </c>
      <c r="D692">
        <v>2</v>
      </c>
      <c r="E692">
        <f t="shared" si="1700"/>
        <v>2850</v>
      </c>
      <c r="F692">
        <f t="shared" si="1701"/>
        <v>1530</v>
      </c>
      <c r="G692">
        <f t="shared" si="1702"/>
        <v>713</v>
      </c>
      <c r="H692">
        <f t="shared" si="1703"/>
        <v>3</v>
      </c>
      <c r="I692">
        <f t="shared" si="1704"/>
        <v>8</v>
      </c>
      <c r="J692">
        <f t="shared" si="1705"/>
        <v>1</v>
      </c>
      <c r="K692">
        <v>8</v>
      </c>
      <c r="L692">
        <v>8</v>
      </c>
      <c r="M692">
        <v>99</v>
      </c>
      <c r="N692">
        <v>99</v>
      </c>
      <c r="O692">
        <v>85</v>
      </c>
      <c r="P692">
        <v>88</v>
      </c>
      <c r="Q692">
        <v>0</v>
      </c>
      <c r="R692">
        <v>39</v>
      </c>
      <c r="S692">
        <v>72</v>
      </c>
      <c r="T692">
        <v>0</v>
      </c>
      <c r="U692">
        <f t="shared" si="1706"/>
        <v>10</v>
      </c>
      <c r="V692">
        <v>32</v>
      </c>
      <c r="W692">
        <f t="shared" si="1707"/>
        <v>3</v>
      </c>
      <c r="X692">
        <v>30</v>
      </c>
      <c r="Y692">
        <v>5</v>
      </c>
      <c r="Z692">
        <v>160</v>
      </c>
      <c r="AA692">
        <v>180</v>
      </c>
      <c r="AB692">
        <v>105</v>
      </c>
      <c r="AC692">
        <v>0</v>
      </c>
      <c r="AD692">
        <v>102</v>
      </c>
      <c r="AE692">
        <v>108</v>
      </c>
      <c r="AF692">
        <v>85</v>
      </c>
      <c r="AG692">
        <v>82</v>
      </c>
      <c r="AH692">
        <v>0</v>
      </c>
      <c r="AI692">
        <v>59</v>
      </c>
      <c r="AJ692">
        <v>246</v>
      </c>
      <c r="AK692">
        <v>173</v>
      </c>
      <c r="AL692">
        <v>885</v>
      </c>
      <c r="AM692">
        <v>0</v>
      </c>
      <c r="AN692">
        <v>3</v>
      </c>
      <c r="AO692">
        <v>3</v>
      </c>
      <c r="AP692">
        <v>3</v>
      </c>
      <c r="AQ692">
        <v>3</v>
      </c>
      <c r="AR692">
        <f t="shared" si="1592"/>
        <v>12</v>
      </c>
      <c r="AS692">
        <f>IF(AND(IFERROR(VLOOKUP(AJ692,Equip!$A:$N,13,FALSE),0)&gt;=5,IFERROR(VLOOKUP(AJ692,Equip!$A:$N,13,FALSE),0)&lt;=9),INT(VLOOKUP(AJ692,Equip!$A:$N,6,FALSE)*SQRT(AN692)),0)</f>
        <v>0</v>
      </c>
      <c r="AT692">
        <f>IF(AND(IFERROR(VLOOKUP(AK692,Equip!$A:$N,13,FALSE),0)&gt;=5,IFERROR(VLOOKUP(AK692,Equip!$A:$N,13,FALSE),0)&lt;=9),INT(VLOOKUP(AK692,Equip!$A:$N,6,FALSE)*SQRT(AO692)),0)</f>
        <v>0</v>
      </c>
      <c r="AU692">
        <f>IF(AND(IFERROR(VLOOKUP(AL692,Equip!$A:$N,13,FALSE),0)&gt;=5,IFERROR(VLOOKUP(AL692,Equip!$A:$N,13,FALSE),0)&lt;=9),INT(VLOOKUP(AL692,Equip!$A:$N,6,FALSE)*SQRT(AP692)),0)</f>
        <v>0</v>
      </c>
      <c r="AV692">
        <f>IF(AND(IFERROR(VLOOKUP(AM692,Equip!$A:$N,13,FALSE),0)&gt;=5,IFERROR(VLOOKUP(AM692,Equip!$A:$N,13,FALSE),0)&lt;=9),INT(VLOOKUP(AM692,Equip!$A:$N,6,FALSE)*SQRT(AQ692)),0)</f>
        <v>0</v>
      </c>
      <c r="AW692">
        <f t="shared" si="1582"/>
        <v>0</v>
      </c>
      <c r="AX692">
        <f t="shared" si="1583"/>
        <v>555</v>
      </c>
    </row>
    <row r="693" spans="1:50">
      <c r="A693">
        <v>714</v>
      </c>
      <c r="B693" t="s">
        <v>1028</v>
      </c>
      <c r="C693" t="s">
        <v>1029</v>
      </c>
      <c r="D693">
        <v>0</v>
      </c>
      <c r="E693">
        <v>1333</v>
      </c>
      <c r="F693">
        <v>760</v>
      </c>
      <c r="G693">
        <v>714</v>
      </c>
      <c r="H693">
        <v>0</v>
      </c>
      <c r="I693">
        <v>6</v>
      </c>
      <c r="J693">
        <v>8</v>
      </c>
      <c r="K693">
        <v>1</v>
      </c>
      <c r="L693">
        <v>1</v>
      </c>
      <c r="M693">
        <v>17</v>
      </c>
      <c r="N693">
        <v>17</v>
      </c>
      <c r="O693">
        <v>8</v>
      </c>
      <c r="P693">
        <v>7</v>
      </c>
      <c r="Q693">
        <v>20</v>
      </c>
      <c r="R693">
        <v>37</v>
      </c>
      <c r="S693">
        <v>24</v>
      </c>
      <c r="T693">
        <v>25</v>
      </c>
      <c r="U693">
        <v>10</v>
      </c>
      <c r="V693">
        <v>6</v>
      </c>
      <c r="W693">
        <v>1</v>
      </c>
      <c r="X693">
        <v>15</v>
      </c>
      <c r="Y693">
        <v>0</v>
      </c>
      <c r="Z693">
        <v>15</v>
      </c>
      <c r="AA693">
        <v>25</v>
      </c>
      <c r="AB693">
        <v>28</v>
      </c>
      <c r="AC693">
        <v>70</v>
      </c>
      <c r="AD693">
        <v>54</v>
      </c>
      <c r="AE693">
        <v>22</v>
      </c>
      <c r="AF693">
        <v>59</v>
      </c>
      <c r="AG693">
        <v>77</v>
      </c>
      <c r="AH693">
        <v>55</v>
      </c>
      <c r="AI693">
        <v>16</v>
      </c>
      <c r="AJ693">
        <v>725</v>
      </c>
      <c r="AK693">
        <v>773</v>
      </c>
      <c r="AL693">
        <v>-1</v>
      </c>
      <c r="AM693">
        <v>-1</v>
      </c>
      <c r="AN693">
        <v>0</v>
      </c>
      <c r="AO693">
        <v>0</v>
      </c>
      <c r="AP693">
        <v>0</v>
      </c>
      <c r="AQ693">
        <v>0</v>
      </c>
      <c r="AR693">
        <f t="shared" si="1592"/>
        <v>0</v>
      </c>
      <c r="AS693">
        <f>IF(AND(IFERROR(VLOOKUP(AJ693,Equip!$A:$N,13,FALSE),0)&gt;=5,IFERROR(VLOOKUP(AJ693,Equip!$A:$N,13,FALSE),0)&lt;=9),INT(VLOOKUP(AJ693,Equip!$A:$N,6,FALSE)*SQRT(AN693)),0)</f>
        <v>0</v>
      </c>
      <c r="AT693">
        <f>IF(AND(IFERROR(VLOOKUP(AK693,Equip!$A:$N,13,FALSE),0)&gt;=5,IFERROR(VLOOKUP(AK693,Equip!$A:$N,13,FALSE),0)&lt;=9),INT(VLOOKUP(AK693,Equip!$A:$N,6,FALSE)*SQRT(AO693)),0)</f>
        <v>0</v>
      </c>
      <c r="AU693">
        <f>IF(AND(IFERROR(VLOOKUP(AL693,Equip!$A:$N,13,FALSE),0)&gt;=5,IFERROR(VLOOKUP(AL693,Equip!$A:$N,13,FALSE),0)&lt;=9),INT(VLOOKUP(AL693,Equip!$A:$N,6,FALSE)*SQRT(AP693)),0)</f>
        <v>0</v>
      </c>
      <c r="AV693">
        <f>IF(AND(IFERROR(VLOOKUP(AM693,Equip!$A:$N,13,FALSE),0)&gt;=5,IFERROR(VLOOKUP(AM693,Equip!$A:$N,13,FALSE),0)&lt;=9),INT(VLOOKUP(AM693,Equip!$A:$N,6,FALSE)*SQRT(AQ693)),0)</f>
        <v>0</v>
      </c>
      <c r="AW693">
        <f t="shared" si="1582"/>
        <v>0</v>
      </c>
      <c r="AX693">
        <f t="shared" si="1583"/>
        <v>339</v>
      </c>
    </row>
    <row r="694" spans="1:50">
      <c r="A694">
        <v>714</v>
      </c>
      <c r="B694" t="s">
        <v>1028</v>
      </c>
      <c r="C694" t="s">
        <v>1029</v>
      </c>
      <c r="D694">
        <v>1</v>
      </c>
      <c r="E694">
        <f>E693</f>
        <v>1333</v>
      </c>
      <c r="F694">
        <f t="shared" ref="F694" si="1709">F693</f>
        <v>760</v>
      </c>
      <c r="G694">
        <f t="shared" ref="G694" si="1710">G693</f>
        <v>714</v>
      </c>
      <c r="H694">
        <f t="shared" ref="H694" si="1711">H693</f>
        <v>0</v>
      </c>
      <c r="I694">
        <f t="shared" ref="I694" si="1712">I693</f>
        <v>6</v>
      </c>
      <c r="J694">
        <f t="shared" ref="J694" si="1713">J693</f>
        <v>8</v>
      </c>
      <c r="K694">
        <v>1</v>
      </c>
      <c r="L694">
        <v>1</v>
      </c>
      <c r="M694">
        <v>33</v>
      </c>
      <c r="N694">
        <v>33</v>
      </c>
      <c r="O694">
        <v>8</v>
      </c>
      <c r="P694">
        <v>7</v>
      </c>
      <c r="Q694">
        <v>20</v>
      </c>
      <c r="R694">
        <v>47</v>
      </c>
      <c r="S694">
        <v>25</v>
      </c>
      <c r="T694">
        <v>31</v>
      </c>
      <c r="U694">
        <f t="shared" ref="U694" si="1714">U693</f>
        <v>10</v>
      </c>
      <c r="V694">
        <v>8</v>
      </c>
      <c r="W694">
        <f t="shared" ref="W694" si="1715">W693</f>
        <v>1</v>
      </c>
      <c r="X694">
        <v>15</v>
      </c>
      <c r="Y694">
        <f t="shared" ref="Y694" si="1716">Y693</f>
        <v>0</v>
      </c>
      <c r="Z694">
        <v>15</v>
      </c>
      <c r="AA694">
        <v>25</v>
      </c>
      <c r="AB694">
        <v>47</v>
      </c>
      <c r="AC694">
        <v>75</v>
      </c>
      <c r="AD694">
        <v>62</v>
      </c>
      <c r="AE694">
        <v>50</v>
      </c>
      <c r="AF694">
        <v>62</v>
      </c>
      <c r="AG694">
        <v>89</v>
      </c>
      <c r="AH694">
        <v>63</v>
      </c>
      <c r="AI694">
        <v>39</v>
      </c>
      <c r="AJ694">
        <v>725</v>
      </c>
      <c r="AK694">
        <v>773</v>
      </c>
      <c r="AL694">
        <v>0</v>
      </c>
      <c r="AM694">
        <v>-1</v>
      </c>
      <c r="AN694">
        <v>0</v>
      </c>
      <c r="AO694">
        <v>0</v>
      </c>
      <c r="AP694">
        <v>0</v>
      </c>
      <c r="AQ694">
        <v>0</v>
      </c>
      <c r="AR694">
        <f t="shared" si="1592"/>
        <v>0</v>
      </c>
      <c r="AS694">
        <f>IF(AND(IFERROR(VLOOKUP(AJ694,Equip!$A:$N,13,FALSE),0)&gt;=5,IFERROR(VLOOKUP(AJ694,Equip!$A:$N,13,FALSE),0)&lt;=9),INT(VLOOKUP(AJ694,Equip!$A:$N,6,FALSE)*SQRT(AN694)),0)</f>
        <v>0</v>
      </c>
      <c r="AT694">
        <f>IF(AND(IFERROR(VLOOKUP(AK694,Equip!$A:$N,13,FALSE),0)&gt;=5,IFERROR(VLOOKUP(AK694,Equip!$A:$N,13,FALSE),0)&lt;=9),INT(VLOOKUP(AK694,Equip!$A:$N,6,FALSE)*SQRT(AO694)),0)</f>
        <v>0</v>
      </c>
      <c r="AU694">
        <f>IF(AND(IFERROR(VLOOKUP(AL694,Equip!$A:$N,13,FALSE),0)&gt;=5,IFERROR(VLOOKUP(AL694,Equip!$A:$N,13,FALSE),0)&lt;=9),INT(VLOOKUP(AL694,Equip!$A:$N,6,FALSE)*SQRT(AP694)),0)</f>
        <v>0</v>
      </c>
      <c r="AV694">
        <f>IF(AND(IFERROR(VLOOKUP(AM694,Equip!$A:$N,13,FALSE),0)&gt;=5,IFERROR(VLOOKUP(AM694,Equip!$A:$N,13,FALSE),0)&lt;=9),INT(VLOOKUP(AM694,Equip!$A:$N,6,FALSE)*SQRT(AQ694)),0)</f>
        <v>0</v>
      </c>
      <c r="AW694">
        <f t="shared" si="1582"/>
        <v>0</v>
      </c>
      <c r="AX694">
        <f t="shared" si="1583"/>
        <v>458</v>
      </c>
    </row>
    <row r="695" spans="1:50">
      <c r="A695">
        <v>715</v>
      </c>
      <c r="B695" t="s">
        <v>1257</v>
      </c>
      <c r="C695" t="s">
        <v>1030</v>
      </c>
      <c r="D695">
        <v>0</v>
      </c>
      <c r="E695">
        <v>1333</v>
      </c>
      <c r="F695">
        <v>760</v>
      </c>
      <c r="G695">
        <v>715</v>
      </c>
      <c r="H695">
        <v>0</v>
      </c>
      <c r="I695">
        <v>6</v>
      </c>
      <c r="J695">
        <v>0</v>
      </c>
      <c r="K695">
        <v>1</v>
      </c>
      <c r="L695">
        <v>1</v>
      </c>
      <c r="M695">
        <v>17</v>
      </c>
      <c r="N695">
        <v>17</v>
      </c>
      <c r="O695">
        <v>8</v>
      </c>
      <c r="P695">
        <v>7</v>
      </c>
      <c r="Q695">
        <v>20</v>
      </c>
      <c r="R695">
        <v>36</v>
      </c>
      <c r="S695">
        <v>26</v>
      </c>
      <c r="T695">
        <v>25</v>
      </c>
      <c r="U695">
        <v>10</v>
      </c>
      <c r="V695">
        <v>6</v>
      </c>
      <c r="W695">
        <v>1</v>
      </c>
      <c r="X695">
        <v>32</v>
      </c>
      <c r="Y695">
        <v>0</v>
      </c>
      <c r="Z695">
        <v>15</v>
      </c>
      <c r="AA695">
        <v>25</v>
      </c>
      <c r="AB695">
        <v>28</v>
      </c>
      <c r="AC695">
        <v>70</v>
      </c>
      <c r="AD695">
        <v>56</v>
      </c>
      <c r="AE695">
        <v>22</v>
      </c>
      <c r="AF695">
        <v>69</v>
      </c>
      <c r="AG695">
        <v>76</v>
      </c>
      <c r="AH695">
        <v>55</v>
      </c>
      <c r="AI695">
        <v>16</v>
      </c>
      <c r="AJ695">
        <v>725</v>
      </c>
      <c r="AK695">
        <v>773</v>
      </c>
      <c r="AL695">
        <v>-1</v>
      </c>
      <c r="AM695">
        <v>-1</v>
      </c>
      <c r="AN695">
        <v>0</v>
      </c>
      <c r="AO695">
        <v>0</v>
      </c>
      <c r="AP695">
        <v>0</v>
      </c>
      <c r="AQ695">
        <v>0</v>
      </c>
      <c r="AR695">
        <f t="shared" si="1592"/>
        <v>0</v>
      </c>
      <c r="AS695">
        <f>IF(AND(IFERROR(VLOOKUP(AJ695,Equip!$A:$N,13,FALSE),0)&gt;=5,IFERROR(VLOOKUP(AJ695,Equip!$A:$N,13,FALSE),0)&lt;=9),INT(VLOOKUP(AJ695,Equip!$A:$N,6,FALSE)*SQRT(AN695)),0)</f>
        <v>0</v>
      </c>
      <c r="AT695">
        <f>IF(AND(IFERROR(VLOOKUP(AK695,Equip!$A:$N,13,FALSE),0)&gt;=5,IFERROR(VLOOKUP(AK695,Equip!$A:$N,13,FALSE),0)&lt;=9),INT(VLOOKUP(AK695,Equip!$A:$N,6,FALSE)*SQRT(AO695)),0)</f>
        <v>0</v>
      </c>
      <c r="AU695">
        <f>IF(AND(IFERROR(VLOOKUP(AL695,Equip!$A:$N,13,FALSE),0)&gt;=5,IFERROR(VLOOKUP(AL695,Equip!$A:$N,13,FALSE),0)&lt;=9),INT(VLOOKUP(AL695,Equip!$A:$N,6,FALSE)*SQRT(AP695)),0)</f>
        <v>0</v>
      </c>
      <c r="AV695">
        <f>IF(AND(IFERROR(VLOOKUP(AM695,Equip!$A:$N,13,FALSE),0)&gt;=5,IFERROR(VLOOKUP(AM695,Equip!$A:$N,13,FALSE),0)&lt;=9),INT(VLOOKUP(AM695,Equip!$A:$N,6,FALSE)*SQRT(AQ695)),0)</f>
        <v>0</v>
      </c>
      <c r="AW695">
        <f t="shared" si="1582"/>
        <v>0</v>
      </c>
      <c r="AX695">
        <f t="shared" si="1583"/>
        <v>340</v>
      </c>
    </row>
    <row r="696" spans="1:50">
      <c r="A696">
        <v>715</v>
      </c>
      <c r="B696" t="s">
        <v>1257</v>
      </c>
      <c r="C696" t="s">
        <v>1030</v>
      </c>
      <c r="D696">
        <v>1</v>
      </c>
      <c r="E696">
        <f>E695</f>
        <v>1333</v>
      </c>
      <c r="F696">
        <f t="shared" ref="F696" si="1717">F695</f>
        <v>760</v>
      </c>
      <c r="G696">
        <f t="shared" ref="G696" si="1718">G695</f>
        <v>715</v>
      </c>
      <c r="H696">
        <f t="shared" ref="H696" si="1719">H695</f>
        <v>0</v>
      </c>
      <c r="I696">
        <f t="shared" ref="I696" si="1720">I695</f>
        <v>6</v>
      </c>
      <c r="J696">
        <f t="shared" ref="J696" si="1721">J695</f>
        <v>0</v>
      </c>
      <c r="K696">
        <v>1</v>
      </c>
      <c r="L696">
        <v>1</v>
      </c>
      <c r="M696">
        <v>33</v>
      </c>
      <c r="N696">
        <v>33</v>
      </c>
      <c r="O696">
        <v>8</v>
      </c>
      <c r="P696">
        <v>7</v>
      </c>
      <c r="Q696">
        <v>20</v>
      </c>
      <c r="R696">
        <v>46</v>
      </c>
      <c r="S696">
        <v>27</v>
      </c>
      <c r="T696">
        <v>31</v>
      </c>
      <c r="U696">
        <f t="shared" ref="U696" si="1722">U695</f>
        <v>10</v>
      </c>
      <c r="V696">
        <v>8</v>
      </c>
      <c r="W696">
        <f t="shared" ref="W696" si="1723">W695</f>
        <v>1</v>
      </c>
      <c r="X696">
        <v>32</v>
      </c>
      <c r="Y696">
        <f t="shared" ref="Y696" si="1724">Y695</f>
        <v>0</v>
      </c>
      <c r="Z696">
        <v>15</v>
      </c>
      <c r="AA696">
        <v>25</v>
      </c>
      <c r="AB696">
        <v>47</v>
      </c>
      <c r="AC696">
        <v>75</v>
      </c>
      <c r="AD696">
        <v>64</v>
      </c>
      <c r="AE696">
        <v>50</v>
      </c>
      <c r="AF696">
        <v>79</v>
      </c>
      <c r="AG696">
        <v>88</v>
      </c>
      <c r="AH696">
        <v>63</v>
      </c>
      <c r="AI696">
        <v>39</v>
      </c>
      <c r="AJ696">
        <v>725</v>
      </c>
      <c r="AK696">
        <v>773</v>
      </c>
      <c r="AL696">
        <v>0</v>
      </c>
      <c r="AM696">
        <v>-1</v>
      </c>
      <c r="AN696">
        <v>0</v>
      </c>
      <c r="AO696">
        <v>0</v>
      </c>
      <c r="AP696">
        <v>0</v>
      </c>
      <c r="AQ696">
        <v>0</v>
      </c>
      <c r="AR696">
        <f t="shared" si="1592"/>
        <v>0</v>
      </c>
      <c r="AS696">
        <f>IF(AND(IFERROR(VLOOKUP(AJ696,Equip!$A:$N,13,FALSE),0)&gt;=5,IFERROR(VLOOKUP(AJ696,Equip!$A:$N,13,FALSE),0)&lt;=9),INT(VLOOKUP(AJ696,Equip!$A:$N,6,FALSE)*SQRT(AN696)),0)</f>
        <v>0</v>
      </c>
      <c r="AT696">
        <f>IF(AND(IFERROR(VLOOKUP(AK696,Equip!$A:$N,13,FALSE),0)&gt;=5,IFERROR(VLOOKUP(AK696,Equip!$A:$N,13,FALSE),0)&lt;=9),INT(VLOOKUP(AK696,Equip!$A:$N,6,FALSE)*SQRT(AO696)),0)</f>
        <v>0</v>
      </c>
      <c r="AU696">
        <f>IF(AND(IFERROR(VLOOKUP(AL696,Equip!$A:$N,13,FALSE),0)&gt;=5,IFERROR(VLOOKUP(AL696,Equip!$A:$N,13,FALSE),0)&lt;=9),INT(VLOOKUP(AL696,Equip!$A:$N,6,FALSE)*SQRT(AP696)),0)</f>
        <v>0</v>
      </c>
      <c r="AV696">
        <f>IF(AND(IFERROR(VLOOKUP(AM696,Equip!$A:$N,13,FALSE),0)&gt;=5,IFERROR(VLOOKUP(AM696,Equip!$A:$N,13,FALSE),0)&lt;=9),INT(VLOOKUP(AM696,Equip!$A:$N,6,FALSE)*SQRT(AQ696)),0)</f>
        <v>0</v>
      </c>
      <c r="AW696">
        <f t="shared" si="1582"/>
        <v>0</v>
      </c>
      <c r="AX696">
        <f t="shared" si="1583"/>
        <v>459</v>
      </c>
    </row>
    <row r="697" spans="1:50">
      <c r="A697">
        <v>716</v>
      </c>
      <c r="B697" t="s">
        <v>1031</v>
      </c>
      <c r="C697" t="s">
        <v>1032</v>
      </c>
      <c r="D697">
        <v>0</v>
      </c>
      <c r="E697">
        <v>1333</v>
      </c>
      <c r="F697">
        <v>760</v>
      </c>
      <c r="G697">
        <v>716</v>
      </c>
      <c r="H697">
        <v>0</v>
      </c>
      <c r="I697">
        <v>6</v>
      </c>
      <c r="J697">
        <v>3</v>
      </c>
      <c r="K697">
        <v>1</v>
      </c>
      <c r="L697">
        <v>1</v>
      </c>
      <c r="M697">
        <v>19</v>
      </c>
      <c r="N697">
        <v>19</v>
      </c>
      <c r="O697">
        <v>8</v>
      </c>
      <c r="P697">
        <v>8</v>
      </c>
      <c r="Q697">
        <v>20</v>
      </c>
      <c r="R697">
        <v>38</v>
      </c>
      <c r="S697">
        <v>25</v>
      </c>
      <c r="T697">
        <v>25</v>
      </c>
      <c r="U697">
        <v>10</v>
      </c>
      <c r="V697">
        <v>6</v>
      </c>
      <c r="W697">
        <v>1</v>
      </c>
      <c r="X697">
        <v>20</v>
      </c>
      <c r="Y697">
        <v>0</v>
      </c>
      <c r="Z697">
        <v>15</v>
      </c>
      <c r="AA697">
        <v>25</v>
      </c>
      <c r="AB697">
        <v>28</v>
      </c>
      <c r="AC697">
        <v>70</v>
      </c>
      <c r="AD697">
        <v>55</v>
      </c>
      <c r="AE697">
        <v>23</v>
      </c>
      <c r="AF697">
        <v>64</v>
      </c>
      <c r="AG697">
        <v>78</v>
      </c>
      <c r="AH697">
        <v>55</v>
      </c>
      <c r="AI697">
        <v>16</v>
      </c>
      <c r="AJ697">
        <v>725</v>
      </c>
      <c r="AK697">
        <v>773</v>
      </c>
      <c r="AL697">
        <v>-1</v>
      </c>
      <c r="AM697">
        <v>-1</v>
      </c>
      <c r="AN697">
        <v>0</v>
      </c>
      <c r="AO697">
        <v>0</v>
      </c>
      <c r="AP697">
        <v>0</v>
      </c>
      <c r="AQ697">
        <v>0</v>
      </c>
      <c r="AR697">
        <f t="shared" si="1592"/>
        <v>0</v>
      </c>
      <c r="AS697">
        <f>IF(AND(IFERROR(VLOOKUP(AJ697,Equip!$A:$N,13,FALSE),0)&gt;=5,IFERROR(VLOOKUP(AJ697,Equip!$A:$N,13,FALSE),0)&lt;=9),INT(VLOOKUP(AJ697,Equip!$A:$N,6,FALSE)*SQRT(AN697)),0)</f>
        <v>0</v>
      </c>
      <c r="AT697">
        <f>IF(AND(IFERROR(VLOOKUP(AK697,Equip!$A:$N,13,FALSE),0)&gt;=5,IFERROR(VLOOKUP(AK697,Equip!$A:$N,13,FALSE),0)&lt;=9),INT(VLOOKUP(AK697,Equip!$A:$N,6,FALSE)*SQRT(AO697)),0)</f>
        <v>0</v>
      </c>
      <c r="AU697">
        <f>IF(AND(IFERROR(VLOOKUP(AL697,Equip!$A:$N,13,FALSE),0)&gt;=5,IFERROR(VLOOKUP(AL697,Equip!$A:$N,13,FALSE),0)&lt;=9),INT(VLOOKUP(AL697,Equip!$A:$N,6,FALSE)*SQRT(AP697)),0)</f>
        <v>0</v>
      </c>
      <c r="AV697">
        <f>IF(AND(IFERROR(VLOOKUP(AM697,Equip!$A:$N,13,FALSE),0)&gt;=5,IFERROR(VLOOKUP(AM697,Equip!$A:$N,13,FALSE),0)&lt;=9),INT(VLOOKUP(AM697,Equip!$A:$N,6,FALSE)*SQRT(AQ697)),0)</f>
        <v>0</v>
      </c>
      <c r="AW697">
        <f t="shared" si="1582"/>
        <v>0</v>
      </c>
      <c r="AX697">
        <f t="shared" si="1583"/>
        <v>344</v>
      </c>
    </row>
    <row r="698" spans="1:50">
      <c r="A698">
        <v>716</v>
      </c>
      <c r="B698" t="s">
        <v>1031</v>
      </c>
      <c r="C698" t="s">
        <v>1032</v>
      </c>
      <c r="D698">
        <v>1</v>
      </c>
      <c r="E698">
        <f>E697</f>
        <v>1333</v>
      </c>
      <c r="F698">
        <f t="shared" ref="F698" si="1725">F697</f>
        <v>760</v>
      </c>
      <c r="G698">
        <f t="shared" ref="G698" si="1726">G697</f>
        <v>716</v>
      </c>
      <c r="H698">
        <f t="shared" ref="H698" si="1727">H697</f>
        <v>0</v>
      </c>
      <c r="I698">
        <f t="shared" ref="I698" si="1728">I697</f>
        <v>6</v>
      </c>
      <c r="J698">
        <f t="shared" ref="J698" si="1729">J697</f>
        <v>3</v>
      </c>
      <c r="K698">
        <v>1</v>
      </c>
      <c r="L698">
        <v>1</v>
      </c>
      <c r="M698">
        <v>35</v>
      </c>
      <c r="N698">
        <v>35</v>
      </c>
      <c r="O698">
        <v>8</v>
      </c>
      <c r="P698">
        <v>8</v>
      </c>
      <c r="Q698">
        <v>20</v>
      </c>
      <c r="R698">
        <v>47</v>
      </c>
      <c r="S698">
        <v>26</v>
      </c>
      <c r="T698">
        <v>31</v>
      </c>
      <c r="U698">
        <f t="shared" ref="U698" si="1730">U697</f>
        <v>10</v>
      </c>
      <c r="V698">
        <v>8</v>
      </c>
      <c r="W698">
        <f t="shared" ref="W698" si="1731">W697</f>
        <v>1</v>
      </c>
      <c r="X698">
        <v>20</v>
      </c>
      <c r="Y698">
        <f t="shared" ref="Y698" si="1732">Y697</f>
        <v>0</v>
      </c>
      <c r="Z698">
        <v>15</v>
      </c>
      <c r="AA698">
        <v>25</v>
      </c>
      <c r="AB698">
        <v>47</v>
      </c>
      <c r="AC698">
        <v>75</v>
      </c>
      <c r="AD698">
        <v>63</v>
      </c>
      <c r="AE698">
        <v>51</v>
      </c>
      <c r="AF698">
        <v>69</v>
      </c>
      <c r="AG698">
        <v>90</v>
      </c>
      <c r="AH698">
        <v>63</v>
      </c>
      <c r="AI698">
        <v>39</v>
      </c>
      <c r="AJ698">
        <v>725</v>
      </c>
      <c r="AK698">
        <v>773</v>
      </c>
      <c r="AL698">
        <v>0</v>
      </c>
      <c r="AM698">
        <v>-1</v>
      </c>
      <c r="AN698">
        <v>0</v>
      </c>
      <c r="AO698">
        <v>0</v>
      </c>
      <c r="AP698">
        <v>0</v>
      </c>
      <c r="AQ698">
        <v>0</v>
      </c>
      <c r="AR698">
        <f t="shared" si="1592"/>
        <v>0</v>
      </c>
      <c r="AS698">
        <f>IF(AND(IFERROR(VLOOKUP(AJ698,Equip!$A:$N,13,FALSE),0)&gt;=5,IFERROR(VLOOKUP(AJ698,Equip!$A:$N,13,FALSE),0)&lt;=9),INT(VLOOKUP(AJ698,Equip!$A:$N,6,FALSE)*SQRT(AN698)),0)</f>
        <v>0</v>
      </c>
      <c r="AT698">
        <f>IF(AND(IFERROR(VLOOKUP(AK698,Equip!$A:$N,13,FALSE),0)&gt;=5,IFERROR(VLOOKUP(AK698,Equip!$A:$N,13,FALSE),0)&lt;=9),INT(VLOOKUP(AK698,Equip!$A:$N,6,FALSE)*SQRT(AO698)),0)</f>
        <v>0</v>
      </c>
      <c r="AU698">
        <f>IF(AND(IFERROR(VLOOKUP(AL698,Equip!$A:$N,13,FALSE),0)&gt;=5,IFERROR(VLOOKUP(AL698,Equip!$A:$N,13,FALSE),0)&lt;=9),INT(VLOOKUP(AL698,Equip!$A:$N,6,FALSE)*SQRT(AP698)),0)</f>
        <v>0</v>
      </c>
      <c r="AV698">
        <f>IF(AND(IFERROR(VLOOKUP(AM698,Equip!$A:$N,13,FALSE),0)&gt;=5,IFERROR(VLOOKUP(AM698,Equip!$A:$N,13,FALSE),0)&lt;=9),INT(VLOOKUP(AM698,Equip!$A:$N,6,FALSE)*SQRT(AQ698)),0)</f>
        <v>0</v>
      </c>
      <c r="AW698">
        <f t="shared" si="1582"/>
        <v>0</v>
      </c>
      <c r="AX698">
        <f t="shared" si="1583"/>
        <v>463</v>
      </c>
    </row>
    <row r="699" spans="1:50">
      <c r="A699">
        <v>717</v>
      </c>
      <c r="B699" t="s">
        <v>1033</v>
      </c>
      <c r="C699" t="s">
        <v>1034</v>
      </c>
      <c r="D699">
        <v>0</v>
      </c>
      <c r="E699">
        <v>2552</v>
      </c>
      <c r="F699">
        <v>1393</v>
      </c>
      <c r="G699">
        <v>717</v>
      </c>
      <c r="H699">
        <v>2</v>
      </c>
      <c r="I699">
        <v>6</v>
      </c>
      <c r="J699">
        <v>6</v>
      </c>
      <c r="K699">
        <v>12</v>
      </c>
      <c r="L699">
        <v>4</v>
      </c>
      <c r="M699">
        <v>83</v>
      </c>
      <c r="N699">
        <v>83</v>
      </c>
      <c r="O699">
        <v>0</v>
      </c>
      <c r="P699">
        <v>41</v>
      </c>
      <c r="Q699">
        <v>0</v>
      </c>
      <c r="R699">
        <v>20</v>
      </c>
      <c r="S699">
        <v>35</v>
      </c>
      <c r="T699">
        <v>0</v>
      </c>
      <c r="U699">
        <v>10</v>
      </c>
      <c r="V699">
        <v>41</v>
      </c>
      <c r="W699">
        <v>1</v>
      </c>
      <c r="X699">
        <v>20</v>
      </c>
      <c r="Y699">
        <v>0</v>
      </c>
      <c r="Z699">
        <v>65</v>
      </c>
      <c r="AA699">
        <v>70</v>
      </c>
      <c r="AB699">
        <v>35</v>
      </c>
      <c r="AC699">
        <v>0</v>
      </c>
      <c r="AD699">
        <v>74</v>
      </c>
      <c r="AE699">
        <v>65</v>
      </c>
      <c r="AF699">
        <v>69</v>
      </c>
      <c r="AG699">
        <v>40</v>
      </c>
      <c r="AH699">
        <v>0</v>
      </c>
      <c r="AI699">
        <v>67</v>
      </c>
      <c r="AJ699">
        <v>756</v>
      </c>
      <c r="AK699">
        <v>196</v>
      </c>
      <c r="AL699">
        <v>195</v>
      </c>
      <c r="AM699">
        <v>0</v>
      </c>
      <c r="AN699">
        <v>20</v>
      </c>
      <c r="AO699">
        <v>20</v>
      </c>
      <c r="AP699">
        <v>30</v>
      </c>
      <c r="AQ699">
        <v>10</v>
      </c>
      <c r="AR699">
        <f t="shared" si="1592"/>
        <v>80</v>
      </c>
      <c r="AS699">
        <f>IF(AND(IFERROR(VLOOKUP(AJ699,Equip!$A:$N,13,FALSE),0)&gt;=5,IFERROR(VLOOKUP(AJ699,Equip!$A:$N,13,FALSE),0)&lt;=9),INT(VLOOKUP(AJ699,Equip!$A:$N,6,FALSE)*SQRT(AN699)),0)</f>
        <v>0</v>
      </c>
      <c r="AT699">
        <f>IF(AND(IFERROR(VLOOKUP(AK699,Equip!$A:$N,13,FALSE),0)&gt;=5,IFERROR(VLOOKUP(AK699,Equip!$A:$N,13,FALSE),0)&lt;=9),INT(VLOOKUP(AK699,Equip!$A:$N,6,FALSE)*SQRT(AO699)),0)</f>
        <v>0</v>
      </c>
      <c r="AU699">
        <f>IF(AND(IFERROR(VLOOKUP(AL699,Equip!$A:$N,13,FALSE),0)&gt;=5,IFERROR(VLOOKUP(AL699,Equip!$A:$N,13,FALSE),0)&lt;=9),INT(VLOOKUP(AL699,Equip!$A:$N,6,FALSE)*SQRT(AP699)),0)</f>
        <v>0</v>
      </c>
      <c r="AV699">
        <f>IF(AND(IFERROR(VLOOKUP(AM699,Equip!$A:$N,13,FALSE),0)&gt;=5,IFERROR(VLOOKUP(AM699,Equip!$A:$N,13,FALSE),0)&lt;=9),INT(VLOOKUP(AM699,Equip!$A:$N,6,FALSE)*SQRT(AQ699)),0)</f>
        <v>0</v>
      </c>
      <c r="AW699">
        <f t="shared" si="1582"/>
        <v>0</v>
      </c>
      <c r="AX699">
        <f t="shared" si="1583"/>
        <v>364</v>
      </c>
    </row>
    <row r="700" spans="1:50">
      <c r="A700">
        <v>717</v>
      </c>
      <c r="B700" t="s">
        <v>1033</v>
      </c>
      <c r="C700" t="s">
        <v>1034</v>
      </c>
      <c r="D700">
        <v>1</v>
      </c>
      <c r="E700">
        <f>E699</f>
        <v>2552</v>
      </c>
      <c r="F700">
        <f t="shared" ref="F700" si="1733">F699</f>
        <v>1393</v>
      </c>
      <c r="G700">
        <f t="shared" ref="G700" si="1734">G699</f>
        <v>717</v>
      </c>
      <c r="H700">
        <f t="shared" ref="H700" si="1735">H699</f>
        <v>2</v>
      </c>
      <c r="I700">
        <f t="shared" ref="I700" si="1736">I699</f>
        <v>6</v>
      </c>
      <c r="J700">
        <f t="shared" ref="J700" si="1737">J699</f>
        <v>6</v>
      </c>
      <c r="K700">
        <v>12</v>
      </c>
      <c r="L700">
        <v>4</v>
      </c>
      <c r="M700">
        <v>89</v>
      </c>
      <c r="N700">
        <v>89</v>
      </c>
      <c r="O700">
        <v>0</v>
      </c>
      <c r="P700">
        <v>49</v>
      </c>
      <c r="Q700">
        <v>0</v>
      </c>
      <c r="R700">
        <v>26</v>
      </c>
      <c r="S700">
        <v>47</v>
      </c>
      <c r="T700">
        <v>0</v>
      </c>
      <c r="U700">
        <f t="shared" ref="U700" si="1738">U699</f>
        <v>10</v>
      </c>
      <c r="V700">
        <v>52</v>
      </c>
      <c r="W700">
        <f t="shared" ref="W700" si="1739">W699</f>
        <v>1</v>
      </c>
      <c r="X700">
        <v>20</v>
      </c>
      <c r="Y700">
        <f t="shared" ref="Y700" si="1740">Y699</f>
        <v>0</v>
      </c>
      <c r="Z700">
        <v>85</v>
      </c>
      <c r="AA700">
        <v>90</v>
      </c>
      <c r="AB700">
        <v>54</v>
      </c>
      <c r="AC700">
        <v>0</v>
      </c>
      <c r="AD700">
        <v>88</v>
      </c>
      <c r="AE700">
        <v>84</v>
      </c>
      <c r="AF700">
        <v>69</v>
      </c>
      <c r="AG700">
        <v>53</v>
      </c>
      <c r="AH700">
        <v>0</v>
      </c>
      <c r="AI700">
        <v>81</v>
      </c>
      <c r="AJ700">
        <v>832</v>
      </c>
      <c r="AK700">
        <v>763</v>
      </c>
      <c r="AL700">
        <v>752</v>
      </c>
      <c r="AM700">
        <v>0</v>
      </c>
      <c r="AN700">
        <v>22</v>
      </c>
      <c r="AO700">
        <v>22</v>
      </c>
      <c r="AP700">
        <v>35</v>
      </c>
      <c r="AQ700">
        <v>11</v>
      </c>
      <c r="AR700">
        <f t="shared" si="1592"/>
        <v>90</v>
      </c>
      <c r="AS700">
        <f>IF(AND(IFERROR(VLOOKUP(AJ700,Equip!$A:$N,13,FALSE),0)&gt;=5,IFERROR(VLOOKUP(AJ700,Equip!$A:$N,13,FALSE),0)&lt;=9),INT(VLOOKUP(AJ700,Equip!$A:$N,6,FALSE)*SQRT(AN700)),0)</f>
        <v>0</v>
      </c>
      <c r="AT700">
        <f>IF(AND(IFERROR(VLOOKUP(AK700,Equip!$A:$N,13,FALSE),0)&gt;=5,IFERROR(VLOOKUP(AK700,Equip!$A:$N,13,FALSE),0)&lt;=9),INT(VLOOKUP(AK700,Equip!$A:$N,6,FALSE)*SQRT(AO700)),0)</f>
        <v>0</v>
      </c>
      <c r="AU700">
        <f>IF(AND(IFERROR(VLOOKUP(AL700,Equip!$A:$N,13,FALSE),0)&gt;=5,IFERROR(VLOOKUP(AL700,Equip!$A:$N,13,FALSE),0)&lt;=9),INT(VLOOKUP(AL700,Equip!$A:$N,6,FALSE)*SQRT(AP700)),0)</f>
        <v>0</v>
      </c>
      <c r="AV700">
        <f>IF(AND(IFERROR(VLOOKUP(AM700,Equip!$A:$N,13,FALSE),0)&gt;=5,IFERROR(VLOOKUP(AM700,Equip!$A:$N,13,FALSE),0)&lt;=9),INT(VLOOKUP(AM700,Equip!$A:$N,6,FALSE)*SQRT(AQ700)),0)</f>
        <v>0</v>
      </c>
      <c r="AW700">
        <f t="shared" si="1582"/>
        <v>0</v>
      </c>
      <c r="AX700">
        <f t="shared" si="1583"/>
        <v>449</v>
      </c>
    </row>
    <row r="701" spans="1:50">
      <c r="A701">
        <v>718</v>
      </c>
      <c r="B701" t="s">
        <v>895</v>
      </c>
      <c r="C701" t="s">
        <v>1035</v>
      </c>
      <c r="D701">
        <v>0</v>
      </c>
      <c r="E701">
        <v>2482</v>
      </c>
      <c r="F701">
        <v>1333</v>
      </c>
      <c r="G701">
        <v>233</v>
      </c>
      <c r="H701">
        <v>1</v>
      </c>
      <c r="I701">
        <v>6</v>
      </c>
      <c r="J701">
        <v>9</v>
      </c>
      <c r="K701">
        <v>12</v>
      </c>
      <c r="L701">
        <v>4</v>
      </c>
      <c r="M701">
        <v>83</v>
      </c>
      <c r="N701">
        <v>83</v>
      </c>
      <c r="O701">
        <v>0</v>
      </c>
      <c r="P701">
        <v>39</v>
      </c>
      <c r="Q701">
        <v>0</v>
      </c>
      <c r="R701">
        <v>22</v>
      </c>
      <c r="S701">
        <v>37</v>
      </c>
      <c r="T701">
        <v>0</v>
      </c>
      <c r="U701">
        <v>10</v>
      </c>
      <c r="V701">
        <v>39</v>
      </c>
      <c r="W701">
        <v>1</v>
      </c>
      <c r="X701">
        <v>22</v>
      </c>
      <c r="Y701">
        <v>0</v>
      </c>
      <c r="Z701">
        <v>65</v>
      </c>
      <c r="AA701">
        <v>70</v>
      </c>
      <c r="AB701">
        <v>34</v>
      </c>
      <c r="AC701">
        <v>0</v>
      </c>
      <c r="AD701">
        <v>76</v>
      </c>
      <c r="AE701">
        <v>62</v>
      </c>
      <c r="AF701">
        <v>69</v>
      </c>
      <c r="AG701">
        <v>44</v>
      </c>
      <c r="AH701">
        <v>0</v>
      </c>
      <c r="AI701">
        <v>66</v>
      </c>
      <c r="AJ701">
        <v>756</v>
      </c>
      <c r="AK701">
        <v>196</v>
      </c>
      <c r="AL701">
        <v>195</v>
      </c>
      <c r="AM701">
        <v>0</v>
      </c>
      <c r="AN701">
        <v>20</v>
      </c>
      <c r="AO701">
        <v>20</v>
      </c>
      <c r="AP701">
        <v>30</v>
      </c>
      <c r="AQ701">
        <v>10</v>
      </c>
      <c r="AR701">
        <f t="shared" si="1592"/>
        <v>80</v>
      </c>
      <c r="AS701">
        <f>IF(AND(IFERROR(VLOOKUP(AJ701,Equip!$A:$N,13,FALSE),0)&gt;=5,IFERROR(VLOOKUP(AJ701,Equip!$A:$N,13,FALSE),0)&lt;=9),INT(VLOOKUP(AJ701,Equip!$A:$N,6,FALSE)*SQRT(AN701)),0)</f>
        <v>0</v>
      </c>
      <c r="AT701">
        <f>IF(AND(IFERROR(VLOOKUP(AK701,Equip!$A:$N,13,FALSE),0)&gt;=5,IFERROR(VLOOKUP(AK701,Equip!$A:$N,13,FALSE),0)&lt;=9),INT(VLOOKUP(AK701,Equip!$A:$N,6,FALSE)*SQRT(AO701)),0)</f>
        <v>0</v>
      </c>
      <c r="AU701">
        <f>IF(AND(IFERROR(VLOOKUP(AL701,Equip!$A:$N,13,FALSE),0)&gt;=5,IFERROR(VLOOKUP(AL701,Equip!$A:$N,13,FALSE),0)&lt;=9),INT(VLOOKUP(AL701,Equip!$A:$N,6,FALSE)*SQRT(AP701)),0)</f>
        <v>0</v>
      </c>
      <c r="AV701">
        <f>IF(AND(IFERROR(VLOOKUP(AM701,Equip!$A:$N,13,FALSE),0)&gt;=5,IFERROR(VLOOKUP(AM701,Equip!$A:$N,13,FALSE),0)&lt;=9),INT(VLOOKUP(AM701,Equip!$A:$N,6,FALSE)*SQRT(AQ701)),0)</f>
        <v>0</v>
      </c>
      <c r="AW701">
        <f t="shared" si="1582"/>
        <v>0</v>
      </c>
      <c r="AX701">
        <f t="shared" si="1583"/>
        <v>365</v>
      </c>
    </row>
    <row r="702" spans="1:50">
      <c r="A702">
        <v>718</v>
      </c>
      <c r="B702" t="s">
        <v>895</v>
      </c>
      <c r="C702" t="s">
        <v>1035</v>
      </c>
      <c r="D702">
        <v>1</v>
      </c>
      <c r="E702">
        <f>E701</f>
        <v>2482</v>
      </c>
      <c r="F702">
        <f t="shared" ref="F702" si="1741">F701</f>
        <v>1333</v>
      </c>
      <c r="G702">
        <f t="shared" ref="G702" si="1742">G701</f>
        <v>233</v>
      </c>
      <c r="H702">
        <f t="shared" ref="H702" si="1743">H701</f>
        <v>1</v>
      </c>
      <c r="I702">
        <f t="shared" ref="I702" si="1744">I701</f>
        <v>6</v>
      </c>
      <c r="J702">
        <f t="shared" ref="J702" si="1745">J701</f>
        <v>9</v>
      </c>
      <c r="K702">
        <v>12</v>
      </c>
      <c r="L702">
        <v>4</v>
      </c>
      <c r="M702">
        <v>87</v>
      </c>
      <c r="N702">
        <v>87</v>
      </c>
      <c r="O702">
        <v>0</v>
      </c>
      <c r="P702">
        <v>48</v>
      </c>
      <c r="Q702">
        <v>0</v>
      </c>
      <c r="R702">
        <v>25</v>
      </c>
      <c r="S702">
        <v>60</v>
      </c>
      <c r="T702">
        <v>0</v>
      </c>
      <c r="U702">
        <f t="shared" ref="U702" si="1746">U701</f>
        <v>10</v>
      </c>
      <c r="V702">
        <v>51</v>
      </c>
      <c r="W702">
        <f t="shared" ref="W702" si="1747">W701</f>
        <v>1</v>
      </c>
      <c r="X702">
        <v>32</v>
      </c>
      <c r="Y702">
        <f t="shared" ref="Y702" si="1748">Y701</f>
        <v>0</v>
      </c>
      <c r="Z702">
        <v>85</v>
      </c>
      <c r="AA702">
        <v>90</v>
      </c>
      <c r="AB702">
        <v>52</v>
      </c>
      <c r="AC702">
        <v>0</v>
      </c>
      <c r="AD702">
        <v>95</v>
      </c>
      <c r="AE702">
        <v>82</v>
      </c>
      <c r="AF702">
        <v>81</v>
      </c>
      <c r="AG702">
        <v>55</v>
      </c>
      <c r="AH702">
        <v>0</v>
      </c>
      <c r="AI702">
        <v>79</v>
      </c>
      <c r="AJ702">
        <v>832</v>
      </c>
      <c r="AK702">
        <v>763</v>
      </c>
      <c r="AL702">
        <v>793</v>
      </c>
      <c r="AM702">
        <v>0</v>
      </c>
      <c r="AN702">
        <v>22</v>
      </c>
      <c r="AO702">
        <v>22</v>
      </c>
      <c r="AP702">
        <v>35</v>
      </c>
      <c r="AQ702">
        <v>11</v>
      </c>
      <c r="AR702">
        <f t="shared" si="1592"/>
        <v>90</v>
      </c>
      <c r="AS702">
        <f>IF(AND(IFERROR(VLOOKUP(AJ702,Equip!$A:$N,13,FALSE),0)&gt;=5,IFERROR(VLOOKUP(AJ702,Equip!$A:$N,13,FALSE),0)&lt;=9),INT(VLOOKUP(AJ702,Equip!$A:$N,6,FALSE)*SQRT(AN702)),0)</f>
        <v>0</v>
      </c>
      <c r="AT702">
        <f>IF(AND(IFERROR(VLOOKUP(AK702,Equip!$A:$N,13,FALSE),0)&gt;=5,IFERROR(VLOOKUP(AK702,Equip!$A:$N,13,FALSE),0)&lt;=9),INT(VLOOKUP(AK702,Equip!$A:$N,6,FALSE)*SQRT(AO702)),0)</f>
        <v>0</v>
      </c>
      <c r="AU702">
        <f>IF(AND(IFERROR(VLOOKUP(AL702,Equip!$A:$N,13,FALSE),0)&gt;=5,IFERROR(VLOOKUP(AL702,Equip!$A:$N,13,FALSE),0)&lt;=9),INT(VLOOKUP(AL702,Equip!$A:$N,6,FALSE)*SQRT(AP702)),0)</f>
        <v>0</v>
      </c>
      <c r="AV702">
        <f>IF(AND(IFERROR(VLOOKUP(AM702,Equip!$A:$N,13,FALSE),0)&gt;=5,IFERROR(VLOOKUP(AM702,Equip!$A:$N,13,FALSE),0)&lt;=9),INT(VLOOKUP(AM702,Equip!$A:$N,6,FALSE)*SQRT(AQ702)),0)</f>
        <v>0</v>
      </c>
      <c r="AW702">
        <f t="shared" si="1582"/>
        <v>0</v>
      </c>
      <c r="AX702">
        <f t="shared" si="1583"/>
        <v>450</v>
      </c>
    </row>
    <row r="703" spans="1:50">
      <c r="A703">
        <v>719</v>
      </c>
      <c r="B703" t="s">
        <v>1036</v>
      </c>
      <c r="C703" t="s">
        <v>1037</v>
      </c>
      <c r="D703">
        <v>0</v>
      </c>
      <c r="E703">
        <v>2480</v>
      </c>
      <c r="F703">
        <v>1362</v>
      </c>
      <c r="G703">
        <v>719</v>
      </c>
      <c r="H703">
        <v>3</v>
      </c>
      <c r="I703">
        <v>5</v>
      </c>
      <c r="J703">
        <v>7</v>
      </c>
      <c r="K703">
        <v>8</v>
      </c>
      <c r="L703">
        <v>11</v>
      </c>
      <c r="M703">
        <v>72</v>
      </c>
      <c r="N703">
        <v>72</v>
      </c>
      <c r="O703">
        <v>84</v>
      </c>
      <c r="P703">
        <v>77</v>
      </c>
      <c r="Q703">
        <v>0</v>
      </c>
      <c r="R703">
        <v>19</v>
      </c>
      <c r="S703">
        <v>42</v>
      </c>
      <c r="T703">
        <v>0</v>
      </c>
      <c r="U703">
        <v>5</v>
      </c>
      <c r="V703">
        <v>12</v>
      </c>
      <c r="W703">
        <v>3</v>
      </c>
      <c r="X703">
        <v>20</v>
      </c>
      <c r="Y703">
        <v>0</v>
      </c>
      <c r="Z703">
        <v>100</v>
      </c>
      <c r="AA703">
        <v>140</v>
      </c>
      <c r="AB703">
        <v>101</v>
      </c>
      <c r="AC703">
        <v>19</v>
      </c>
      <c r="AD703">
        <v>99</v>
      </c>
      <c r="AE703">
        <v>91</v>
      </c>
      <c r="AF703">
        <v>69</v>
      </c>
      <c r="AG703">
        <v>39</v>
      </c>
      <c r="AH703">
        <v>0</v>
      </c>
      <c r="AI703">
        <v>39</v>
      </c>
      <c r="AJ703">
        <v>737</v>
      </c>
      <c r="AK703">
        <v>730</v>
      </c>
      <c r="AL703">
        <v>716</v>
      </c>
      <c r="AM703">
        <v>0</v>
      </c>
      <c r="AN703">
        <v>0</v>
      </c>
      <c r="AO703">
        <v>0</v>
      </c>
      <c r="AP703">
        <v>0</v>
      </c>
      <c r="AQ703">
        <v>0</v>
      </c>
      <c r="AR703">
        <f t="shared" si="1592"/>
        <v>0</v>
      </c>
      <c r="AS703">
        <f>IF(AND(IFERROR(VLOOKUP(AJ703,Equip!$A:$N,13,FALSE),0)&gt;=5,IFERROR(VLOOKUP(AJ703,Equip!$A:$N,13,FALSE),0)&lt;=9),INT(VLOOKUP(AJ703,Equip!$A:$N,6,FALSE)*SQRT(AN703)),0)</f>
        <v>0</v>
      </c>
      <c r="AT703">
        <f>IF(AND(IFERROR(VLOOKUP(AK703,Equip!$A:$N,13,FALSE),0)&gt;=5,IFERROR(VLOOKUP(AK703,Equip!$A:$N,13,FALSE),0)&lt;=9),INT(VLOOKUP(AK703,Equip!$A:$N,6,FALSE)*SQRT(AO703)),0)</f>
        <v>0</v>
      </c>
      <c r="AU703">
        <f>IF(AND(IFERROR(VLOOKUP(AL703,Equip!$A:$N,13,FALSE),0)&gt;=5,IFERROR(VLOOKUP(AL703,Equip!$A:$N,13,FALSE),0)&lt;=9),INT(VLOOKUP(AL703,Equip!$A:$N,6,FALSE)*SQRT(AP703)),0)</f>
        <v>0</v>
      </c>
      <c r="AV703">
        <f>IF(AND(IFERROR(VLOOKUP(AM703,Equip!$A:$N,13,FALSE),0)&gt;=5,IFERROR(VLOOKUP(AM703,Equip!$A:$N,13,FALSE),0)&lt;=9),INT(VLOOKUP(AM703,Equip!$A:$N,6,FALSE)*SQRT(AQ703)),0)</f>
        <v>0</v>
      </c>
      <c r="AW703">
        <f t="shared" si="1582"/>
        <v>0</v>
      </c>
      <c r="AX703">
        <f t="shared" si="1583"/>
        <v>460</v>
      </c>
    </row>
    <row r="704" spans="1:50">
      <c r="A704">
        <v>719</v>
      </c>
      <c r="B704" t="s">
        <v>1036</v>
      </c>
      <c r="C704" t="s">
        <v>1037</v>
      </c>
      <c r="D704">
        <v>1</v>
      </c>
      <c r="E704">
        <f>E703</f>
        <v>2480</v>
      </c>
      <c r="F704">
        <f t="shared" ref="F704" si="1749">F703</f>
        <v>1362</v>
      </c>
      <c r="G704">
        <f t="shared" ref="G704" si="1750">G703</f>
        <v>719</v>
      </c>
      <c r="H704">
        <f t="shared" ref="H704" si="1751">H703</f>
        <v>3</v>
      </c>
      <c r="I704">
        <f t="shared" ref="I704" si="1752">I703</f>
        <v>5</v>
      </c>
      <c r="J704">
        <f t="shared" ref="J704" si="1753">J703</f>
        <v>7</v>
      </c>
      <c r="K704">
        <v>8</v>
      </c>
      <c r="L704">
        <v>11</v>
      </c>
      <c r="M704">
        <v>82</v>
      </c>
      <c r="N704">
        <v>82</v>
      </c>
      <c r="O704">
        <v>89</v>
      </c>
      <c r="P704">
        <v>87</v>
      </c>
      <c r="Q704">
        <v>0</v>
      </c>
      <c r="R704">
        <v>23</v>
      </c>
      <c r="S704">
        <v>47</v>
      </c>
      <c r="T704">
        <v>0</v>
      </c>
      <c r="U704">
        <f t="shared" ref="U704" si="1754">U703</f>
        <v>5</v>
      </c>
      <c r="V704">
        <v>16</v>
      </c>
      <c r="W704">
        <f t="shared" ref="W704" si="1755">W703</f>
        <v>3</v>
      </c>
      <c r="X704">
        <v>20</v>
      </c>
      <c r="Y704">
        <f t="shared" ref="Y704" si="1756">Y703</f>
        <v>0</v>
      </c>
      <c r="Z704">
        <v>105</v>
      </c>
      <c r="AA704">
        <v>170</v>
      </c>
      <c r="AB704">
        <v>102</v>
      </c>
      <c r="AC704">
        <v>24</v>
      </c>
      <c r="AD704">
        <v>104</v>
      </c>
      <c r="AE704">
        <v>101</v>
      </c>
      <c r="AF704">
        <v>79</v>
      </c>
      <c r="AG704">
        <v>59</v>
      </c>
      <c r="AH704">
        <v>0</v>
      </c>
      <c r="AI704">
        <v>49</v>
      </c>
      <c r="AJ704">
        <v>835</v>
      </c>
      <c r="AK704">
        <v>832</v>
      </c>
      <c r="AL704">
        <v>0</v>
      </c>
      <c r="AM704">
        <v>0</v>
      </c>
      <c r="AN704">
        <v>2</v>
      </c>
      <c r="AO704">
        <v>2</v>
      </c>
      <c r="AP704">
        <v>2</v>
      </c>
      <c r="AQ704">
        <v>2</v>
      </c>
      <c r="AR704">
        <f t="shared" si="1592"/>
        <v>8</v>
      </c>
      <c r="AS704">
        <f>IF(AND(IFERROR(VLOOKUP(AJ704,Equip!$A:$N,13,FALSE),0)&gt;=5,IFERROR(VLOOKUP(AJ704,Equip!$A:$N,13,FALSE),0)&lt;=9),INT(VLOOKUP(AJ704,Equip!$A:$N,6,FALSE)*SQRT(AN704)),0)</f>
        <v>0</v>
      </c>
      <c r="AT704">
        <f>IF(AND(IFERROR(VLOOKUP(AK704,Equip!$A:$N,13,FALSE),0)&gt;=5,IFERROR(VLOOKUP(AK704,Equip!$A:$N,13,FALSE),0)&lt;=9),INT(VLOOKUP(AK704,Equip!$A:$N,6,FALSE)*SQRT(AO704)),0)</f>
        <v>0</v>
      </c>
      <c r="AU704">
        <f>IF(AND(IFERROR(VLOOKUP(AL704,Equip!$A:$N,13,FALSE),0)&gt;=5,IFERROR(VLOOKUP(AL704,Equip!$A:$N,13,FALSE),0)&lt;=9),INT(VLOOKUP(AL704,Equip!$A:$N,6,FALSE)*SQRT(AP704)),0)</f>
        <v>0</v>
      </c>
      <c r="AV704">
        <f>IF(AND(IFERROR(VLOOKUP(AM704,Equip!$A:$N,13,FALSE),0)&gt;=5,IFERROR(VLOOKUP(AM704,Equip!$A:$N,13,FALSE),0)&lt;=9),INT(VLOOKUP(AM704,Equip!$A:$N,6,FALSE)*SQRT(AQ704)),0)</f>
        <v>0</v>
      </c>
      <c r="AW704">
        <f t="shared" si="1582"/>
        <v>0</v>
      </c>
      <c r="AX704">
        <f t="shared" si="1583"/>
        <v>521</v>
      </c>
    </row>
    <row r="705" spans="1:50">
      <c r="A705">
        <v>720</v>
      </c>
      <c r="B705" t="s">
        <v>1038</v>
      </c>
      <c r="C705" t="s">
        <v>1039</v>
      </c>
      <c r="D705">
        <v>0</v>
      </c>
      <c r="E705">
        <v>2480</v>
      </c>
      <c r="F705">
        <v>1362</v>
      </c>
      <c r="G705">
        <v>720</v>
      </c>
      <c r="H705">
        <v>2</v>
      </c>
      <c r="I705">
        <v>5</v>
      </c>
      <c r="J705">
        <v>3</v>
      </c>
      <c r="K705">
        <v>8</v>
      </c>
      <c r="L705">
        <v>11</v>
      </c>
      <c r="M705">
        <v>72</v>
      </c>
      <c r="N705">
        <v>72</v>
      </c>
      <c r="O705">
        <v>83</v>
      </c>
      <c r="P705">
        <v>76</v>
      </c>
      <c r="Q705">
        <v>0</v>
      </c>
      <c r="R705">
        <v>18</v>
      </c>
      <c r="S705">
        <v>41</v>
      </c>
      <c r="T705">
        <v>0</v>
      </c>
      <c r="U705">
        <v>5</v>
      </c>
      <c r="V705">
        <v>12</v>
      </c>
      <c r="W705">
        <v>3</v>
      </c>
      <c r="X705">
        <v>20</v>
      </c>
      <c r="Y705">
        <v>0</v>
      </c>
      <c r="Z705">
        <v>100</v>
      </c>
      <c r="AA705">
        <v>140</v>
      </c>
      <c r="AB705">
        <v>100</v>
      </c>
      <c r="AC705">
        <v>24</v>
      </c>
      <c r="AD705">
        <v>98</v>
      </c>
      <c r="AE705">
        <v>90</v>
      </c>
      <c r="AF705">
        <v>69</v>
      </c>
      <c r="AG705">
        <v>38</v>
      </c>
      <c r="AH705">
        <v>0</v>
      </c>
      <c r="AI705">
        <v>39</v>
      </c>
      <c r="AJ705">
        <v>737</v>
      </c>
      <c r="AK705">
        <v>730</v>
      </c>
      <c r="AL705">
        <v>716</v>
      </c>
      <c r="AM705">
        <v>0</v>
      </c>
      <c r="AN705">
        <v>0</v>
      </c>
      <c r="AO705">
        <v>0</v>
      </c>
      <c r="AP705">
        <v>0</v>
      </c>
      <c r="AQ705">
        <v>0</v>
      </c>
      <c r="AR705">
        <f t="shared" si="1592"/>
        <v>0</v>
      </c>
      <c r="AS705">
        <f>IF(AND(IFERROR(VLOOKUP(AJ705,Equip!$A:$N,13,FALSE),0)&gt;=5,IFERROR(VLOOKUP(AJ705,Equip!$A:$N,13,FALSE),0)&lt;=9),INT(VLOOKUP(AJ705,Equip!$A:$N,6,FALSE)*SQRT(AN705)),0)</f>
        <v>0</v>
      </c>
      <c r="AT705">
        <f>IF(AND(IFERROR(VLOOKUP(AK705,Equip!$A:$N,13,FALSE),0)&gt;=5,IFERROR(VLOOKUP(AK705,Equip!$A:$N,13,FALSE),0)&lt;=9),INT(VLOOKUP(AK705,Equip!$A:$N,6,FALSE)*SQRT(AO705)),0)</f>
        <v>0</v>
      </c>
      <c r="AU705">
        <f>IF(AND(IFERROR(VLOOKUP(AL705,Equip!$A:$N,13,FALSE),0)&gt;=5,IFERROR(VLOOKUP(AL705,Equip!$A:$N,13,FALSE),0)&lt;=9),INT(VLOOKUP(AL705,Equip!$A:$N,6,FALSE)*SQRT(AP705)),0)</f>
        <v>0</v>
      </c>
      <c r="AV705">
        <f>IF(AND(IFERROR(VLOOKUP(AM705,Equip!$A:$N,13,FALSE),0)&gt;=5,IFERROR(VLOOKUP(AM705,Equip!$A:$N,13,FALSE),0)&lt;=9),INT(VLOOKUP(AM705,Equip!$A:$N,6,FALSE)*SQRT(AQ705)),0)</f>
        <v>0</v>
      </c>
      <c r="AW705">
        <f t="shared" si="1582"/>
        <v>0</v>
      </c>
      <c r="AX705">
        <f t="shared" si="1583"/>
        <v>461</v>
      </c>
    </row>
    <row r="706" spans="1:50">
      <c r="A706">
        <v>720</v>
      </c>
      <c r="B706" t="s">
        <v>1038</v>
      </c>
      <c r="C706" t="s">
        <v>1039</v>
      </c>
      <c r="D706">
        <v>1</v>
      </c>
      <c r="E706">
        <f>E705</f>
        <v>2480</v>
      </c>
      <c r="F706">
        <f t="shared" ref="F706" si="1757">F705</f>
        <v>1362</v>
      </c>
      <c r="G706">
        <f t="shared" ref="G706" si="1758">G705</f>
        <v>720</v>
      </c>
      <c r="H706">
        <f t="shared" ref="H706" si="1759">H705</f>
        <v>2</v>
      </c>
      <c r="I706">
        <f t="shared" ref="I706" si="1760">I705</f>
        <v>5</v>
      </c>
      <c r="J706">
        <f t="shared" ref="J706" si="1761">J705</f>
        <v>3</v>
      </c>
      <c r="K706">
        <v>8</v>
      </c>
      <c r="L706">
        <v>11</v>
      </c>
      <c r="M706">
        <v>82</v>
      </c>
      <c r="N706">
        <v>82</v>
      </c>
      <c r="O706">
        <v>88</v>
      </c>
      <c r="P706">
        <v>86</v>
      </c>
      <c r="Q706">
        <v>0</v>
      </c>
      <c r="R706">
        <v>24</v>
      </c>
      <c r="S706">
        <v>46</v>
      </c>
      <c r="T706">
        <v>0</v>
      </c>
      <c r="U706">
        <f t="shared" ref="U706" si="1762">U705</f>
        <v>5</v>
      </c>
      <c r="V706">
        <v>16</v>
      </c>
      <c r="W706">
        <f t="shared" ref="W706" si="1763">W705</f>
        <v>3</v>
      </c>
      <c r="X706">
        <v>20</v>
      </c>
      <c r="Y706">
        <f t="shared" ref="Y706" si="1764">Y705</f>
        <v>0</v>
      </c>
      <c r="Z706">
        <v>105</v>
      </c>
      <c r="AA706">
        <v>170</v>
      </c>
      <c r="AB706">
        <v>101</v>
      </c>
      <c r="AC706">
        <v>29</v>
      </c>
      <c r="AD706">
        <v>103</v>
      </c>
      <c r="AE706">
        <v>99</v>
      </c>
      <c r="AF706">
        <v>79</v>
      </c>
      <c r="AG706">
        <v>58</v>
      </c>
      <c r="AH706">
        <v>0</v>
      </c>
      <c r="AI706">
        <v>49</v>
      </c>
      <c r="AJ706">
        <v>835</v>
      </c>
      <c r="AK706">
        <v>768</v>
      </c>
      <c r="AL706">
        <v>0</v>
      </c>
      <c r="AM706">
        <v>0</v>
      </c>
      <c r="AN706">
        <v>2</v>
      </c>
      <c r="AO706">
        <v>2</v>
      </c>
      <c r="AP706">
        <v>2</v>
      </c>
      <c r="AQ706">
        <v>2</v>
      </c>
      <c r="AR706">
        <f t="shared" si="1592"/>
        <v>8</v>
      </c>
      <c r="AS706">
        <f>IF(AND(IFERROR(VLOOKUP(AJ706,Equip!$A:$N,13,FALSE),0)&gt;=5,IFERROR(VLOOKUP(AJ706,Equip!$A:$N,13,FALSE),0)&lt;=9),INT(VLOOKUP(AJ706,Equip!$A:$N,6,FALSE)*SQRT(AN706)),0)</f>
        <v>0</v>
      </c>
      <c r="AT706">
        <f>IF(AND(IFERROR(VLOOKUP(AK706,Equip!$A:$N,13,FALSE),0)&gt;=5,IFERROR(VLOOKUP(AK706,Equip!$A:$N,13,FALSE),0)&lt;=9),INT(VLOOKUP(AK706,Equip!$A:$N,6,FALSE)*SQRT(AO706)),0)</f>
        <v>0</v>
      </c>
      <c r="AU706">
        <f>IF(AND(IFERROR(VLOOKUP(AL706,Equip!$A:$N,13,FALSE),0)&gt;=5,IFERROR(VLOOKUP(AL706,Equip!$A:$N,13,FALSE),0)&lt;=9),INT(VLOOKUP(AL706,Equip!$A:$N,6,FALSE)*SQRT(AP706)),0)</f>
        <v>0</v>
      </c>
      <c r="AV706">
        <f>IF(AND(IFERROR(VLOOKUP(AM706,Equip!$A:$N,13,FALSE),0)&gt;=5,IFERROR(VLOOKUP(AM706,Equip!$A:$N,13,FALSE),0)&lt;=9),INT(VLOOKUP(AM706,Equip!$A:$N,6,FALSE)*SQRT(AQ706)),0)</f>
        <v>0</v>
      </c>
      <c r="AW706">
        <f t="shared" si="1582"/>
        <v>0</v>
      </c>
      <c r="AX706">
        <f t="shared" si="1583"/>
        <v>521</v>
      </c>
    </row>
    <row r="707" spans="1:50">
      <c r="A707">
        <v>721</v>
      </c>
      <c r="B707" t="s">
        <v>788</v>
      </c>
      <c r="C707" t="s">
        <v>788</v>
      </c>
      <c r="D707">
        <v>0</v>
      </c>
      <c r="E707">
        <v>1903</v>
      </c>
      <c r="F707">
        <v>1051</v>
      </c>
      <c r="G707">
        <v>54</v>
      </c>
      <c r="H707">
        <v>1</v>
      </c>
      <c r="I707">
        <v>1</v>
      </c>
      <c r="J707">
        <v>4</v>
      </c>
      <c r="K707">
        <v>2</v>
      </c>
      <c r="L707">
        <v>3</v>
      </c>
      <c r="M707">
        <v>37</v>
      </c>
      <c r="N707">
        <v>37</v>
      </c>
      <c r="O707">
        <v>30</v>
      </c>
      <c r="P707">
        <v>26</v>
      </c>
      <c r="Q707">
        <v>12</v>
      </c>
      <c r="R707">
        <v>33</v>
      </c>
      <c r="S707">
        <v>16</v>
      </c>
      <c r="T707">
        <v>0</v>
      </c>
      <c r="U707">
        <v>10</v>
      </c>
      <c r="V707">
        <v>11</v>
      </c>
      <c r="W707">
        <v>2</v>
      </c>
      <c r="X707">
        <v>20</v>
      </c>
      <c r="Y707">
        <v>0</v>
      </c>
      <c r="Z707">
        <v>35</v>
      </c>
      <c r="AA707">
        <v>50</v>
      </c>
      <c r="AB707">
        <v>54</v>
      </c>
      <c r="AC707">
        <v>59</v>
      </c>
      <c r="AD707">
        <v>59</v>
      </c>
      <c r="AE707">
        <v>37</v>
      </c>
      <c r="AF707">
        <v>20</v>
      </c>
      <c r="AG707">
        <v>69</v>
      </c>
      <c r="AH707">
        <v>39</v>
      </c>
      <c r="AI707">
        <v>39</v>
      </c>
      <c r="AJ707">
        <v>6</v>
      </c>
      <c r="AK707">
        <v>37</v>
      </c>
      <c r="AL707">
        <v>717</v>
      </c>
      <c r="AM707">
        <v>-1</v>
      </c>
      <c r="AN707">
        <v>2</v>
      </c>
      <c r="AO707">
        <v>2</v>
      </c>
      <c r="AP707">
        <v>2</v>
      </c>
      <c r="AQ707">
        <v>0</v>
      </c>
      <c r="AR707">
        <f t="shared" si="1592"/>
        <v>6</v>
      </c>
      <c r="AS707">
        <f>IF(AND(IFERROR(VLOOKUP(AJ707,Equip!$A:$N,13,FALSE),0)&gt;=5,IFERROR(VLOOKUP(AJ707,Equip!$A:$N,13,FALSE),0)&lt;=9),INT(VLOOKUP(AJ707,Equip!$A:$N,6,FALSE)*SQRT(AN707)),0)</f>
        <v>0</v>
      </c>
      <c r="AT707">
        <f>IF(AND(IFERROR(VLOOKUP(AK707,Equip!$A:$N,13,FALSE),0)&gt;=5,IFERROR(VLOOKUP(AK707,Equip!$A:$N,13,FALSE),0)&lt;=9),INT(VLOOKUP(AK707,Equip!$A:$N,6,FALSE)*SQRT(AO707)),0)</f>
        <v>0</v>
      </c>
      <c r="AU707">
        <f>IF(AND(IFERROR(VLOOKUP(AL707,Equip!$A:$N,13,FALSE),0)&gt;=5,IFERROR(VLOOKUP(AL707,Equip!$A:$N,13,FALSE),0)&lt;=9),INT(VLOOKUP(AL707,Equip!$A:$N,6,FALSE)*SQRT(AP707)),0)</f>
        <v>0</v>
      </c>
      <c r="AV707">
        <f>IF(AND(IFERROR(VLOOKUP(AM707,Equip!$A:$N,13,FALSE),0)&gt;=5,IFERROR(VLOOKUP(AM707,Equip!$A:$N,13,FALSE),0)&lt;=9),INT(VLOOKUP(AM707,Equip!$A:$N,6,FALSE)*SQRT(AQ707)),0)</f>
        <v>0</v>
      </c>
      <c r="AW707">
        <f t="shared" si="1582"/>
        <v>0</v>
      </c>
      <c r="AX707">
        <f t="shared" si="1583"/>
        <v>393</v>
      </c>
    </row>
    <row r="708" spans="1:50">
      <c r="A708">
        <v>721</v>
      </c>
      <c r="B708" t="s">
        <v>788</v>
      </c>
      <c r="C708" t="s">
        <v>788</v>
      </c>
      <c r="D708">
        <v>1</v>
      </c>
      <c r="E708">
        <f>E707</f>
        <v>1903</v>
      </c>
      <c r="F708">
        <f t="shared" ref="F708" si="1765">F707</f>
        <v>1051</v>
      </c>
      <c r="G708">
        <f t="shared" ref="G708" si="1766">G707</f>
        <v>54</v>
      </c>
      <c r="H708">
        <f t="shared" ref="H708" si="1767">H707</f>
        <v>1</v>
      </c>
      <c r="I708">
        <f t="shared" ref="I708" si="1768">I707</f>
        <v>1</v>
      </c>
      <c r="J708">
        <f t="shared" ref="J708" si="1769">J707</f>
        <v>4</v>
      </c>
      <c r="K708">
        <v>2</v>
      </c>
      <c r="L708">
        <v>3</v>
      </c>
      <c r="M708">
        <v>49</v>
      </c>
      <c r="N708">
        <v>49</v>
      </c>
      <c r="O708">
        <v>38</v>
      </c>
      <c r="P708">
        <v>41</v>
      </c>
      <c r="Q708">
        <v>23</v>
      </c>
      <c r="R708">
        <v>47</v>
      </c>
      <c r="S708">
        <v>27</v>
      </c>
      <c r="T708">
        <v>0</v>
      </c>
      <c r="U708">
        <f t="shared" ref="U708" si="1770">U707</f>
        <v>10</v>
      </c>
      <c r="V708">
        <v>21</v>
      </c>
      <c r="W708">
        <f t="shared" ref="W708" si="1771">W707</f>
        <v>2</v>
      </c>
      <c r="X708">
        <v>30</v>
      </c>
      <c r="Y708">
        <f t="shared" ref="Y708" si="1772">Y707</f>
        <v>0</v>
      </c>
      <c r="Z708">
        <v>35</v>
      </c>
      <c r="AA708">
        <v>55</v>
      </c>
      <c r="AB708">
        <v>72</v>
      </c>
      <c r="AC708">
        <v>59</v>
      </c>
      <c r="AD708">
        <v>59</v>
      </c>
      <c r="AE708">
        <v>70</v>
      </c>
      <c r="AF708">
        <v>79</v>
      </c>
      <c r="AG708">
        <v>75</v>
      </c>
      <c r="AH708">
        <v>59</v>
      </c>
      <c r="AI708">
        <v>49</v>
      </c>
      <c r="AJ708">
        <v>6</v>
      </c>
      <c r="AK708">
        <v>39</v>
      </c>
      <c r="AL708">
        <v>14</v>
      </c>
      <c r="AM708">
        <v>826</v>
      </c>
      <c r="AN708">
        <v>2</v>
      </c>
      <c r="AO708">
        <v>2</v>
      </c>
      <c r="AP708">
        <v>2</v>
      </c>
      <c r="AQ708">
        <v>2</v>
      </c>
      <c r="AR708">
        <f t="shared" si="1592"/>
        <v>8</v>
      </c>
      <c r="AS708">
        <f>IF(AND(IFERROR(VLOOKUP(AJ708,Equip!$A:$N,13,FALSE),0)&gt;=5,IFERROR(VLOOKUP(AJ708,Equip!$A:$N,13,FALSE),0)&lt;=9),INT(VLOOKUP(AJ708,Equip!$A:$N,6,FALSE)*SQRT(AN708)),0)</f>
        <v>0</v>
      </c>
      <c r="AT708">
        <f>IF(AND(IFERROR(VLOOKUP(AK708,Equip!$A:$N,13,FALSE),0)&gt;=5,IFERROR(VLOOKUP(AK708,Equip!$A:$N,13,FALSE),0)&lt;=9),INT(VLOOKUP(AK708,Equip!$A:$N,6,FALSE)*SQRT(AO708)),0)</f>
        <v>0</v>
      </c>
      <c r="AU708">
        <f>IF(AND(IFERROR(VLOOKUP(AL708,Equip!$A:$N,13,FALSE),0)&gt;=5,IFERROR(VLOOKUP(AL708,Equip!$A:$N,13,FALSE),0)&lt;=9),INT(VLOOKUP(AL708,Equip!$A:$N,6,FALSE)*SQRT(AP708)),0)</f>
        <v>0</v>
      </c>
      <c r="AV708">
        <f>IF(AND(IFERROR(VLOOKUP(AM708,Equip!$A:$N,13,FALSE),0)&gt;=5,IFERROR(VLOOKUP(AM708,Equip!$A:$N,13,FALSE),0)&lt;=9),INT(VLOOKUP(AM708,Equip!$A:$N,6,FALSE)*SQRT(AQ708)),0)</f>
        <v>0</v>
      </c>
      <c r="AW708">
        <f t="shared" ref="AW708:AW771" si="1773">SUM(AS708:AV708)</f>
        <v>0</v>
      </c>
      <c r="AX708">
        <f t="shared" ref="AX708:AX771" si="1774">SUM(N708,AB708:AE708,AG708:AI708)</f>
        <v>492</v>
      </c>
    </row>
    <row r="709" spans="1:50">
      <c r="A709">
        <v>722</v>
      </c>
      <c r="B709" t="s">
        <v>1258</v>
      </c>
      <c r="C709" t="s">
        <v>1040</v>
      </c>
      <c r="D709">
        <v>0</v>
      </c>
      <c r="E709">
        <v>2091</v>
      </c>
      <c r="F709">
        <v>1099</v>
      </c>
      <c r="G709">
        <v>722</v>
      </c>
      <c r="H709">
        <v>1</v>
      </c>
      <c r="I709">
        <v>6</v>
      </c>
      <c r="J709">
        <v>9</v>
      </c>
      <c r="K709">
        <v>3</v>
      </c>
      <c r="L709">
        <v>4</v>
      </c>
      <c r="M709">
        <v>43</v>
      </c>
      <c r="N709">
        <v>43</v>
      </c>
      <c r="O709">
        <v>38</v>
      </c>
      <c r="P709">
        <v>32</v>
      </c>
      <c r="Q709">
        <v>0</v>
      </c>
      <c r="R709">
        <v>31</v>
      </c>
      <c r="S709">
        <v>35</v>
      </c>
      <c r="T709">
        <v>0</v>
      </c>
      <c r="U709">
        <v>10</v>
      </c>
      <c r="V709">
        <v>15</v>
      </c>
      <c r="W709">
        <v>2</v>
      </c>
      <c r="X709">
        <v>12</v>
      </c>
      <c r="Y709">
        <v>0</v>
      </c>
      <c r="Z709">
        <v>40</v>
      </c>
      <c r="AA709">
        <v>70</v>
      </c>
      <c r="AB709">
        <v>63</v>
      </c>
      <c r="AC709">
        <v>22</v>
      </c>
      <c r="AD709">
        <v>65</v>
      </c>
      <c r="AE709">
        <v>52</v>
      </c>
      <c r="AF709">
        <v>49</v>
      </c>
      <c r="AG709">
        <v>71</v>
      </c>
      <c r="AH709">
        <v>0</v>
      </c>
      <c r="AI709">
        <v>50</v>
      </c>
      <c r="AJ709">
        <v>732</v>
      </c>
      <c r="AK709">
        <v>750</v>
      </c>
      <c r="AL709">
        <v>0</v>
      </c>
      <c r="AM709">
        <v>-1</v>
      </c>
      <c r="AN709">
        <v>2</v>
      </c>
      <c r="AO709">
        <v>2</v>
      </c>
      <c r="AP709">
        <v>2</v>
      </c>
      <c r="AQ709">
        <v>0</v>
      </c>
      <c r="AR709">
        <f t="shared" si="1592"/>
        <v>6</v>
      </c>
      <c r="AS709">
        <f>IF(AND(IFERROR(VLOOKUP(AJ709,Equip!$A:$N,13,FALSE),0)&gt;=5,IFERROR(VLOOKUP(AJ709,Equip!$A:$N,13,FALSE),0)&lt;=9),INT(VLOOKUP(AJ709,Equip!$A:$N,6,FALSE)*SQRT(AN709)),0)</f>
        <v>0</v>
      </c>
      <c r="AT709">
        <f>IF(AND(IFERROR(VLOOKUP(AK709,Equip!$A:$N,13,FALSE),0)&gt;=5,IFERROR(VLOOKUP(AK709,Equip!$A:$N,13,FALSE),0)&lt;=9),INT(VLOOKUP(AK709,Equip!$A:$N,6,FALSE)*SQRT(AO709)),0)</f>
        <v>0</v>
      </c>
      <c r="AU709">
        <f>IF(AND(IFERROR(VLOOKUP(AL709,Equip!$A:$N,13,FALSE),0)&gt;=5,IFERROR(VLOOKUP(AL709,Equip!$A:$N,13,FALSE),0)&lt;=9),INT(VLOOKUP(AL709,Equip!$A:$N,6,FALSE)*SQRT(AP709)),0)</f>
        <v>0</v>
      </c>
      <c r="AV709">
        <f>IF(AND(IFERROR(VLOOKUP(AM709,Equip!$A:$N,13,FALSE),0)&gt;=5,IFERROR(VLOOKUP(AM709,Equip!$A:$N,13,FALSE),0)&lt;=9),INT(VLOOKUP(AM709,Equip!$A:$N,6,FALSE)*SQRT(AQ709)),0)</f>
        <v>0</v>
      </c>
      <c r="AW709">
        <f t="shared" si="1773"/>
        <v>0</v>
      </c>
      <c r="AX709">
        <f t="shared" si="1774"/>
        <v>366</v>
      </c>
    </row>
    <row r="710" spans="1:50">
      <c r="A710">
        <v>722</v>
      </c>
      <c r="B710" t="s">
        <v>1258</v>
      </c>
      <c r="C710" t="s">
        <v>1040</v>
      </c>
      <c r="D710">
        <v>1</v>
      </c>
      <c r="E710">
        <f>E709</f>
        <v>2091</v>
      </c>
      <c r="F710">
        <f t="shared" ref="F710" si="1775">F709</f>
        <v>1099</v>
      </c>
      <c r="G710">
        <f t="shared" ref="G710" si="1776">G709</f>
        <v>722</v>
      </c>
      <c r="H710">
        <f t="shared" ref="H710" si="1777">H709</f>
        <v>1</v>
      </c>
      <c r="I710">
        <f t="shared" ref="I710" si="1778">I709</f>
        <v>6</v>
      </c>
      <c r="J710">
        <f t="shared" ref="J710" si="1779">J709</f>
        <v>9</v>
      </c>
      <c r="K710">
        <v>3</v>
      </c>
      <c r="L710">
        <v>4</v>
      </c>
      <c r="M710">
        <v>62</v>
      </c>
      <c r="N710">
        <v>62</v>
      </c>
      <c r="O710">
        <v>50</v>
      </c>
      <c r="P710">
        <v>47</v>
      </c>
      <c r="Q710">
        <v>0</v>
      </c>
      <c r="R710">
        <v>47</v>
      </c>
      <c r="S710">
        <v>60</v>
      </c>
      <c r="T710">
        <v>0</v>
      </c>
      <c r="U710">
        <f t="shared" ref="U710" si="1780">U709</f>
        <v>10</v>
      </c>
      <c r="V710">
        <v>24</v>
      </c>
      <c r="W710">
        <f t="shared" ref="W710" si="1781">W709</f>
        <v>2</v>
      </c>
      <c r="X710">
        <v>20</v>
      </c>
      <c r="Y710">
        <f t="shared" ref="Y710" si="1782">Y709</f>
        <v>0</v>
      </c>
      <c r="Z710">
        <v>50</v>
      </c>
      <c r="AA710">
        <v>80</v>
      </c>
      <c r="AB710">
        <v>80</v>
      </c>
      <c r="AC710">
        <v>33</v>
      </c>
      <c r="AD710">
        <v>94</v>
      </c>
      <c r="AE710">
        <v>80</v>
      </c>
      <c r="AF710">
        <v>77</v>
      </c>
      <c r="AG710">
        <v>89</v>
      </c>
      <c r="AH710">
        <v>0</v>
      </c>
      <c r="AI710">
        <v>59</v>
      </c>
      <c r="AJ710">
        <v>732</v>
      </c>
      <c r="AK710">
        <v>750</v>
      </c>
      <c r="AL710">
        <v>173</v>
      </c>
      <c r="AM710">
        <v>0</v>
      </c>
      <c r="AN710">
        <v>2</v>
      </c>
      <c r="AO710">
        <v>2</v>
      </c>
      <c r="AP710">
        <v>2</v>
      </c>
      <c r="AQ710">
        <v>2</v>
      </c>
      <c r="AR710">
        <f t="shared" si="1592"/>
        <v>8</v>
      </c>
      <c r="AS710">
        <f>IF(AND(IFERROR(VLOOKUP(AJ710,Equip!$A:$N,13,FALSE),0)&gt;=5,IFERROR(VLOOKUP(AJ710,Equip!$A:$N,13,FALSE),0)&lt;=9),INT(VLOOKUP(AJ710,Equip!$A:$N,6,FALSE)*SQRT(AN710)),0)</f>
        <v>0</v>
      </c>
      <c r="AT710">
        <f>IF(AND(IFERROR(VLOOKUP(AK710,Equip!$A:$N,13,FALSE),0)&gt;=5,IFERROR(VLOOKUP(AK710,Equip!$A:$N,13,FALSE),0)&lt;=9),INT(VLOOKUP(AK710,Equip!$A:$N,6,FALSE)*SQRT(AO710)),0)</f>
        <v>0</v>
      </c>
      <c r="AU710">
        <f>IF(AND(IFERROR(VLOOKUP(AL710,Equip!$A:$N,13,FALSE),0)&gt;=5,IFERROR(VLOOKUP(AL710,Equip!$A:$N,13,FALSE),0)&lt;=9),INT(VLOOKUP(AL710,Equip!$A:$N,6,FALSE)*SQRT(AP710)),0)</f>
        <v>0</v>
      </c>
      <c r="AV710">
        <f>IF(AND(IFERROR(VLOOKUP(AM710,Equip!$A:$N,13,FALSE),0)&gt;=5,IFERROR(VLOOKUP(AM710,Equip!$A:$N,13,FALSE),0)&lt;=9),INT(VLOOKUP(AM710,Equip!$A:$N,6,FALSE)*SQRT(AQ710)),0)</f>
        <v>0</v>
      </c>
      <c r="AW710">
        <f t="shared" si="1773"/>
        <v>0</v>
      </c>
      <c r="AX710">
        <f t="shared" si="1774"/>
        <v>497</v>
      </c>
    </row>
    <row r="711" spans="1:50">
      <c r="A711">
        <v>723</v>
      </c>
      <c r="B711" t="s">
        <v>1259</v>
      </c>
      <c r="C711" t="s">
        <v>1041</v>
      </c>
      <c r="D711">
        <v>0</v>
      </c>
      <c r="E711">
        <v>2184</v>
      </c>
      <c r="F711">
        <v>1194</v>
      </c>
      <c r="G711">
        <v>723</v>
      </c>
      <c r="H711">
        <v>1</v>
      </c>
      <c r="I711">
        <v>2</v>
      </c>
      <c r="J711">
        <v>12</v>
      </c>
      <c r="K711">
        <v>3</v>
      </c>
      <c r="L711">
        <v>4</v>
      </c>
      <c r="M711">
        <v>48</v>
      </c>
      <c r="N711">
        <v>48</v>
      </c>
      <c r="O711">
        <v>40</v>
      </c>
      <c r="P711">
        <v>37</v>
      </c>
      <c r="Q711">
        <v>32</v>
      </c>
      <c r="R711">
        <v>34</v>
      </c>
      <c r="S711">
        <v>12</v>
      </c>
      <c r="T711">
        <v>0</v>
      </c>
      <c r="U711">
        <v>10</v>
      </c>
      <c r="V711">
        <v>15</v>
      </c>
      <c r="W711">
        <v>2</v>
      </c>
      <c r="X711">
        <v>12</v>
      </c>
      <c r="Y711">
        <v>0</v>
      </c>
      <c r="Z711">
        <v>50</v>
      </c>
      <c r="AA711">
        <v>70</v>
      </c>
      <c r="AB711">
        <v>58</v>
      </c>
      <c r="AC711">
        <v>66</v>
      </c>
      <c r="AD711">
        <v>40</v>
      </c>
      <c r="AE711">
        <v>61</v>
      </c>
      <c r="AF711">
        <v>59</v>
      </c>
      <c r="AG711">
        <v>68</v>
      </c>
      <c r="AH711">
        <v>0</v>
      </c>
      <c r="AI711">
        <v>40</v>
      </c>
      <c r="AJ711">
        <v>123</v>
      </c>
      <c r="AK711">
        <v>115</v>
      </c>
      <c r="AL711">
        <v>0</v>
      </c>
      <c r="AM711">
        <v>-1</v>
      </c>
      <c r="AN711">
        <v>3</v>
      </c>
      <c r="AO711">
        <v>3</v>
      </c>
      <c r="AP711">
        <v>3</v>
      </c>
      <c r="AQ711">
        <v>0</v>
      </c>
      <c r="AR711">
        <f t="shared" si="1592"/>
        <v>9</v>
      </c>
      <c r="AS711">
        <f>IF(AND(IFERROR(VLOOKUP(AJ711,Equip!$A:$N,13,FALSE),0)&gt;=5,IFERROR(VLOOKUP(AJ711,Equip!$A:$N,13,FALSE),0)&lt;=9),INT(VLOOKUP(AJ711,Equip!$A:$N,6,FALSE)*SQRT(AN711)),0)</f>
        <v>0</v>
      </c>
      <c r="AT711">
        <f>IF(AND(IFERROR(VLOOKUP(AK711,Equip!$A:$N,13,FALSE),0)&gt;=5,IFERROR(VLOOKUP(AK711,Equip!$A:$N,13,FALSE),0)&lt;=9),INT(VLOOKUP(AK711,Equip!$A:$N,6,FALSE)*SQRT(AO711)),0)</f>
        <v>0</v>
      </c>
      <c r="AU711">
        <f>IF(AND(IFERROR(VLOOKUP(AL711,Equip!$A:$N,13,FALSE),0)&gt;=5,IFERROR(VLOOKUP(AL711,Equip!$A:$N,13,FALSE),0)&lt;=9),INT(VLOOKUP(AL711,Equip!$A:$N,6,FALSE)*SQRT(AP711)),0)</f>
        <v>0</v>
      </c>
      <c r="AV711">
        <f>IF(AND(IFERROR(VLOOKUP(AM711,Equip!$A:$N,13,FALSE),0)&gt;=5,IFERROR(VLOOKUP(AM711,Equip!$A:$N,13,FALSE),0)&lt;=9),INT(VLOOKUP(AM711,Equip!$A:$N,6,FALSE)*SQRT(AQ711)),0)</f>
        <v>0</v>
      </c>
      <c r="AW711">
        <f t="shared" si="1773"/>
        <v>0</v>
      </c>
      <c r="AX711">
        <f t="shared" si="1774"/>
        <v>381</v>
      </c>
    </row>
    <row r="712" spans="1:50">
      <c r="A712">
        <v>723</v>
      </c>
      <c r="B712" t="s">
        <v>1259</v>
      </c>
      <c r="C712" t="s">
        <v>1041</v>
      </c>
      <c r="D712">
        <v>1</v>
      </c>
      <c r="E712">
        <f>E711</f>
        <v>2184</v>
      </c>
      <c r="F712">
        <f t="shared" ref="F712" si="1783">F711</f>
        <v>1194</v>
      </c>
      <c r="G712">
        <f t="shared" ref="G712" si="1784">G711</f>
        <v>723</v>
      </c>
      <c r="H712">
        <f t="shared" ref="H712" si="1785">H711</f>
        <v>1</v>
      </c>
      <c r="I712">
        <f t="shared" ref="I712" si="1786">I711</f>
        <v>2</v>
      </c>
      <c r="J712">
        <f t="shared" ref="J712" si="1787">J711</f>
        <v>12</v>
      </c>
      <c r="K712">
        <v>3</v>
      </c>
      <c r="L712">
        <v>4</v>
      </c>
      <c r="M712">
        <v>61</v>
      </c>
      <c r="N712">
        <v>61</v>
      </c>
      <c r="O712">
        <v>56</v>
      </c>
      <c r="P712">
        <v>38</v>
      </c>
      <c r="Q712">
        <v>45</v>
      </c>
      <c r="R712">
        <v>40</v>
      </c>
      <c r="S712">
        <v>18</v>
      </c>
      <c r="T712">
        <v>0</v>
      </c>
      <c r="U712">
        <f t="shared" ref="U712" si="1788">U711</f>
        <v>10</v>
      </c>
      <c r="V712">
        <v>19</v>
      </c>
      <c r="W712">
        <f t="shared" ref="W712" si="1789">W711</f>
        <v>2</v>
      </c>
      <c r="X712">
        <v>15</v>
      </c>
      <c r="Y712">
        <f t="shared" ref="Y712" si="1790">Y711</f>
        <v>0</v>
      </c>
      <c r="Z712">
        <v>55</v>
      </c>
      <c r="AA712">
        <v>75</v>
      </c>
      <c r="AB712">
        <v>83</v>
      </c>
      <c r="AC712">
        <v>89</v>
      </c>
      <c r="AD712">
        <v>52</v>
      </c>
      <c r="AE712">
        <v>72</v>
      </c>
      <c r="AF712">
        <v>69</v>
      </c>
      <c r="AG712">
        <v>74</v>
      </c>
      <c r="AH712">
        <v>0</v>
      </c>
      <c r="AI712">
        <v>53</v>
      </c>
      <c r="AJ712">
        <v>123</v>
      </c>
      <c r="AK712">
        <v>72</v>
      </c>
      <c r="AL712">
        <v>124</v>
      </c>
      <c r="AM712">
        <v>0</v>
      </c>
      <c r="AN712">
        <v>3</v>
      </c>
      <c r="AO712">
        <v>3</v>
      </c>
      <c r="AP712">
        <v>3</v>
      </c>
      <c r="AQ712">
        <v>3</v>
      </c>
      <c r="AR712">
        <f t="shared" si="1592"/>
        <v>12</v>
      </c>
      <c r="AS712">
        <f>IF(AND(IFERROR(VLOOKUP(AJ712,Equip!$A:$N,13,FALSE),0)&gt;=5,IFERROR(VLOOKUP(AJ712,Equip!$A:$N,13,FALSE),0)&lt;=9),INT(VLOOKUP(AJ712,Equip!$A:$N,6,FALSE)*SQRT(AN712)),0)</f>
        <v>0</v>
      </c>
      <c r="AT712">
        <f>IF(AND(IFERROR(VLOOKUP(AK712,Equip!$A:$N,13,FALSE),0)&gt;=5,IFERROR(VLOOKUP(AK712,Equip!$A:$N,13,FALSE),0)&lt;=9),INT(VLOOKUP(AK712,Equip!$A:$N,6,FALSE)*SQRT(AO712)),0)</f>
        <v>0</v>
      </c>
      <c r="AU712">
        <f>IF(AND(IFERROR(VLOOKUP(AL712,Equip!$A:$N,13,FALSE),0)&gt;=5,IFERROR(VLOOKUP(AL712,Equip!$A:$N,13,FALSE),0)&lt;=9),INT(VLOOKUP(AL712,Equip!$A:$N,6,FALSE)*SQRT(AP712)),0)</f>
        <v>0</v>
      </c>
      <c r="AV712">
        <f>IF(AND(IFERROR(VLOOKUP(AM712,Equip!$A:$N,13,FALSE),0)&gt;=5,IFERROR(VLOOKUP(AM712,Equip!$A:$N,13,FALSE),0)&lt;=9),INT(VLOOKUP(AM712,Equip!$A:$N,6,FALSE)*SQRT(AQ712)),0)</f>
        <v>0</v>
      </c>
      <c r="AW712">
        <f t="shared" si="1773"/>
        <v>0</v>
      </c>
      <c r="AX712">
        <f t="shared" si="1774"/>
        <v>484</v>
      </c>
    </row>
    <row r="713" spans="1:50">
      <c r="A713">
        <v>724</v>
      </c>
      <c r="B713" t="s">
        <v>1042</v>
      </c>
      <c r="C713" t="s">
        <v>1043</v>
      </c>
      <c r="D713">
        <v>0</v>
      </c>
      <c r="E713">
        <v>2189</v>
      </c>
      <c r="F713">
        <v>1199</v>
      </c>
      <c r="G713">
        <v>724</v>
      </c>
      <c r="H713">
        <v>1</v>
      </c>
      <c r="I713">
        <v>2</v>
      </c>
      <c r="J713">
        <v>6</v>
      </c>
      <c r="K713">
        <v>3</v>
      </c>
      <c r="L713">
        <v>4</v>
      </c>
      <c r="M713">
        <v>48</v>
      </c>
      <c r="N713">
        <v>48</v>
      </c>
      <c r="O713">
        <v>40</v>
      </c>
      <c r="P713">
        <v>35</v>
      </c>
      <c r="Q713">
        <v>32</v>
      </c>
      <c r="R713">
        <v>36</v>
      </c>
      <c r="S713">
        <v>12</v>
      </c>
      <c r="T713">
        <v>0</v>
      </c>
      <c r="U713">
        <v>10</v>
      </c>
      <c r="V713">
        <v>15</v>
      </c>
      <c r="W713">
        <v>2</v>
      </c>
      <c r="X713">
        <v>10</v>
      </c>
      <c r="Y713">
        <v>0</v>
      </c>
      <c r="Z713">
        <v>50</v>
      </c>
      <c r="AA713">
        <v>70</v>
      </c>
      <c r="AB713">
        <v>58</v>
      </c>
      <c r="AC713">
        <v>64</v>
      </c>
      <c r="AD713">
        <v>40</v>
      </c>
      <c r="AE713">
        <v>61</v>
      </c>
      <c r="AF713">
        <v>49</v>
      </c>
      <c r="AG713">
        <v>70</v>
      </c>
      <c r="AH713">
        <v>0</v>
      </c>
      <c r="AI713">
        <v>40</v>
      </c>
      <c r="AJ713">
        <v>123</v>
      </c>
      <c r="AK713">
        <v>115</v>
      </c>
      <c r="AL713">
        <v>0</v>
      </c>
      <c r="AM713">
        <v>-1</v>
      </c>
      <c r="AN713">
        <v>3</v>
      </c>
      <c r="AO713">
        <v>3</v>
      </c>
      <c r="AP713">
        <v>3</v>
      </c>
      <c r="AQ713">
        <v>0</v>
      </c>
      <c r="AR713">
        <f t="shared" ref="AR713:AR776" si="1791">SUM(AN713:AQ713)</f>
        <v>9</v>
      </c>
      <c r="AS713">
        <f>IF(AND(IFERROR(VLOOKUP(AJ713,Equip!$A:$N,13,FALSE),0)&gt;=5,IFERROR(VLOOKUP(AJ713,Equip!$A:$N,13,FALSE),0)&lt;=9),INT(VLOOKUP(AJ713,Equip!$A:$N,6,FALSE)*SQRT(AN713)),0)</f>
        <v>0</v>
      </c>
      <c r="AT713">
        <f>IF(AND(IFERROR(VLOOKUP(AK713,Equip!$A:$N,13,FALSE),0)&gt;=5,IFERROR(VLOOKUP(AK713,Equip!$A:$N,13,FALSE),0)&lt;=9),INT(VLOOKUP(AK713,Equip!$A:$N,6,FALSE)*SQRT(AO713)),0)</f>
        <v>0</v>
      </c>
      <c r="AU713">
        <f>IF(AND(IFERROR(VLOOKUP(AL713,Equip!$A:$N,13,FALSE),0)&gt;=5,IFERROR(VLOOKUP(AL713,Equip!$A:$N,13,FALSE),0)&lt;=9),INT(VLOOKUP(AL713,Equip!$A:$N,6,FALSE)*SQRT(AP713)),0)</f>
        <v>0</v>
      </c>
      <c r="AV713">
        <f>IF(AND(IFERROR(VLOOKUP(AM713,Equip!$A:$N,13,FALSE),0)&gt;=5,IFERROR(VLOOKUP(AM713,Equip!$A:$N,13,FALSE),0)&lt;=9),INT(VLOOKUP(AM713,Equip!$A:$N,6,FALSE)*SQRT(AQ713)),0)</f>
        <v>0</v>
      </c>
      <c r="AW713">
        <f t="shared" si="1773"/>
        <v>0</v>
      </c>
      <c r="AX713">
        <f t="shared" si="1774"/>
        <v>381</v>
      </c>
    </row>
    <row r="714" spans="1:50">
      <c r="A714">
        <v>724</v>
      </c>
      <c r="B714" t="s">
        <v>1042</v>
      </c>
      <c r="C714" t="s">
        <v>1043</v>
      </c>
      <c r="D714">
        <v>1</v>
      </c>
      <c r="E714">
        <f>E713</f>
        <v>2189</v>
      </c>
      <c r="F714">
        <f t="shared" ref="F714" si="1792">F713</f>
        <v>1199</v>
      </c>
      <c r="G714">
        <f t="shared" ref="G714" si="1793">G713</f>
        <v>724</v>
      </c>
      <c r="H714">
        <f t="shared" ref="H714" si="1794">H713</f>
        <v>1</v>
      </c>
      <c r="I714">
        <f t="shared" ref="I714" si="1795">I713</f>
        <v>2</v>
      </c>
      <c r="J714">
        <f t="shared" ref="J714" si="1796">J713</f>
        <v>6</v>
      </c>
      <c r="K714">
        <v>3</v>
      </c>
      <c r="L714">
        <v>4</v>
      </c>
      <c r="M714">
        <v>62</v>
      </c>
      <c r="N714">
        <v>62</v>
      </c>
      <c r="O714">
        <v>53</v>
      </c>
      <c r="P714">
        <v>30</v>
      </c>
      <c r="Q714">
        <v>45</v>
      </c>
      <c r="R714">
        <v>45</v>
      </c>
      <c r="S714">
        <v>18</v>
      </c>
      <c r="T714">
        <v>0</v>
      </c>
      <c r="U714">
        <f t="shared" ref="U714" si="1797">U713</f>
        <v>10</v>
      </c>
      <c r="V714">
        <v>16</v>
      </c>
      <c r="W714">
        <f t="shared" ref="W714" si="1798">W713</f>
        <v>2</v>
      </c>
      <c r="X714">
        <v>12</v>
      </c>
      <c r="Y714">
        <f t="shared" ref="Y714" si="1799">Y713</f>
        <v>0</v>
      </c>
      <c r="Z714">
        <v>55</v>
      </c>
      <c r="AA714">
        <v>75</v>
      </c>
      <c r="AB714">
        <v>80</v>
      </c>
      <c r="AC714">
        <v>89</v>
      </c>
      <c r="AD714">
        <v>52</v>
      </c>
      <c r="AE714">
        <v>74</v>
      </c>
      <c r="AF714">
        <v>59</v>
      </c>
      <c r="AG714">
        <v>79</v>
      </c>
      <c r="AH714">
        <v>0</v>
      </c>
      <c r="AI714">
        <v>50</v>
      </c>
      <c r="AJ714">
        <v>123</v>
      </c>
      <c r="AK714">
        <v>708</v>
      </c>
      <c r="AL714">
        <v>124</v>
      </c>
      <c r="AM714">
        <v>0</v>
      </c>
      <c r="AN714">
        <v>3</v>
      </c>
      <c r="AO714">
        <v>3</v>
      </c>
      <c r="AP714">
        <v>3</v>
      </c>
      <c r="AQ714">
        <v>3</v>
      </c>
      <c r="AR714">
        <f t="shared" si="1791"/>
        <v>12</v>
      </c>
      <c r="AS714">
        <f>IF(AND(IFERROR(VLOOKUP(AJ714,Equip!$A:$N,13,FALSE),0)&gt;=5,IFERROR(VLOOKUP(AJ714,Equip!$A:$N,13,FALSE),0)&lt;=9),INT(VLOOKUP(AJ714,Equip!$A:$N,6,FALSE)*SQRT(AN714)),0)</f>
        <v>0</v>
      </c>
      <c r="AT714">
        <f>IF(AND(IFERROR(VLOOKUP(AK714,Equip!$A:$N,13,FALSE),0)&gt;=5,IFERROR(VLOOKUP(AK714,Equip!$A:$N,13,FALSE),0)&lt;=9),INT(VLOOKUP(AK714,Equip!$A:$N,6,FALSE)*SQRT(AO714)),0)</f>
        <v>0</v>
      </c>
      <c r="AU714">
        <f>IF(AND(IFERROR(VLOOKUP(AL714,Equip!$A:$N,13,FALSE),0)&gt;=5,IFERROR(VLOOKUP(AL714,Equip!$A:$N,13,FALSE),0)&lt;=9),INT(VLOOKUP(AL714,Equip!$A:$N,6,FALSE)*SQRT(AP714)),0)</f>
        <v>0</v>
      </c>
      <c r="AV714">
        <f>IF(AND(IFERROR(VLOOKUP(AM714,Equip!$A:$N,13,FALSE),0)&gt;=5,IFERROR(VLOOKUP(AM714,Equip!$A:$N,13,FALSE),0)&lt;=9),INT(VLOOKUP(AM714,Equip!$A:$N,6,FALSE)*SQRT(AQ714)),0)</f>
        <v>0</v>
      </c>
      <c r="AW714">
        <f t="shared" si="1773"/>
        <v>0</v>
      </c>
      <c r="AX714">
        <f t="shared" si="1774"/>
        <v>486</v>
      </c>
    </row>
    <row r="715" spans="1:50">
      <c r="A715">
        <v>725</v>
      </c>
      <c r="B715" t="s">
        <v>1044</v>
      </c>
      <c r="C715" t="s">
        <v>1044</v>
      </c>
      <c r="D715">
        <v>0</v>
      </c>
      <c r="E715">
        <v>1397</v>
      </c>
      <c r="F715">
        <v>803</v>
      </c>
      <c r="G715">
        <v>725</v>
      </c>
      <c r="H715">
        <v>0</v>
      </c>
      <c r="I715">
        <v>2</v>
      </c>
      <c r="J715">
        <v>7</v>
      </c>
      <c r="K715">
        <v>1</v>
      </c>
      <c r="L715">
        <v>1</v>
      </c>
      <c r="M715">
        <v>22</v>
      </c>
      <c r="N715">
        <v>22</v>
      </c>
      <c r="O715">
        <v>13</v>
      </c>
      <c r="P715">
        <v>11</v>
      </c>
      <c r="Q715">
        <v>24</v>
      </c>
      <c r="R715">
        <v>34</v>
      </c>
      <c r="S715">
        <v>12</v>
      </c>
      <c r="T715">
        <v>32</v>
      </c>
      <c r="U715">
        <v>10</v>
      </c>
      <c r="V715">
        <v>6</v>
      </c>
      <c r="W715">
        <v>1</v>
      </c>
      <c r="X715">
        <v>12</v>
      </c>
      <c r="Y715">
        <v>0</v>
      </c>
      <c r="Z715">
        <v>20</v>
      </c>
      <c r="AA715">
        <v>20</v>
      </c>
      <c r="AB715">
        <v>31</v>
      </c>
      <c r="AC715">
        <v>60</v>
      </c>
      <c r="AD715">
        <v>42</v>
      </c>
      <c r="AE715">
        <v>25</v>
      </c>
      <c r="AF715">
        <v>49</v>
      </c>
      <c r="AG715">
        <v>74</v>
      </c>
      <c r="AH715">
        <v>64</v>
      </c>
      <c r="AI715">
        <v>24</v>
      </c>
      <c r="AJ715">
        <v>720</v>
      </c>
      <c r="AK715">
        <v>779</v>
      </c>
      <c r="AL715">
        <v>0</v>
      </c>
      <c r="AM715">
        <v>-1</v>
      </c>
      <c r="AN715">
        <v>0</v>
      </c>
      <c r="AO715">
        <v>0</v>
      </c>
      <c r="AP715">
        <v>0</v>
      </c>
      <c r="AQ715">
        <v>0</v>
      </c>
      <c r="AR715">
        <f t="shared" si="1791"/>
        <v>0</v>
      </c>
      <c r="AS715">
        <f>IF(AND(IFERROR(VLOOKUP(AJ715,Equip!$A:$N,13,FALSE),0)&gt;=5,IFERROR(VLOOKUP(AJ715,Equip!$A:$N,13,FALSE),0)&lt;=9),INT(VLOOKUP(AJ715,Equip!$A:$N,6,FALSE)*SQRT(AN715)),0)</f>
        <v>0</v>
      </c>
      <c r="AT715">
        <f>IF(AND(IFERROR(VLOOKUP(AK715,Equip!$A:$N,13,FALSE),0)&gt;=5,IFERROR(VLOOKUP(AK715,Equip!$A:$N,13,FALSE),0)&lt;=9),INT(VLOOKUP(AK715,Equip!$A:$N,6,FALSE)*SQRT(AO715)),0)</f>
        <v>0</v>
      </c>
      <c r="AU715">
        <f>IF(AND(IFERROR(VLOOKUP(AL715,Equip!$A:$N,13,FALSE),0)&gt;=5,IFERROR(VLOOKUP(AL715,Equip!$A:$N,13,FALSE),0)&lt;=9),INT(VLOOKUP(AL715,Equip!$A:$N,6,FALSE)*SQRT(AP715)),0)</f>
        <v>0</v>
      </c>
      <c r="AV715">
        <f>IF(AND(IFERROR(VLOOKUP(AM715,Equip!$A:$N,13,FALSE),0)&gt;=5,IFERROR(VLOOKUP(AM715,Equip!$A:$N,13,FALSE),0)&lt;=9),INT(VLOOKUP(AM715,Equip!$A:$N,6,FALSE)*SQRT(AQ715)),0)</f>
        <v>0</v>
      </c>
      <c r="AW715">
        <f t="shared" si="1773"/>
        <v>0</v>
      </c>
      <c r="AX715">
        <f t="shared" si="1774"/>
        <v>342</v>
      </c>
    </row>
    <row r="716" spans="1:50">
      <c r="A716">
        <v>725</v>
      </c>
      <c r="B716" t="s">
        <v>1044</v>
      </c>
      <c r="C716" t="s">
        <v>1044</v>
      </c>
      <c r="D716">
        <v>1</v>
      </c>
      <c r="E716">
        <f t="shared" ref="E716:E717" si="1800">E715</f>
        <v>1397</v>
      </c>
      <c r="F716">
        <f t="shared" ref="F716:F717" si="1801">F715</f>
        <v>803</v>
      </c>
      <c r="G716">
        <f t="shared" ref="G716:G717" si="1802">G715</f>
        <v>725</v>
      </c>
      <c r="H716">
        <f t="shared" ref="H716:H717" si="1803">H715</f>
        <v>0</v>
      </c>
      <c r="I716">
        <f t="shared" ref="I716:I717" si="1804">I715</f>
        <v>2</v>
      </c>
      <c r="J716">
        <f t="shared" ref="J716:J717" si="1805">J715</f>
        <v>7</v>
      </c>
      <c r="K716">
        <v>1</v>
      </c>
      <c r="L716">
        <v>1</v>
      </c>
      <c r="M716">
        <v>37</v>
      </c>
      <c r="N716">
        <v>37</v>
      </c>
      <c r="O716">
        <v>18</v>
      </c>
      <c r="P716">
        <v>21</v>
      </c>
      <c r="Q716">
        <v>31</v>
      </c>
      <c r="R716">
        <v>50</v>
      </c>
      <c r="S716">
        <v>19</v>
      </c>
      <c r="T716">
        <v>46</v>
      </c>
      <c r="U716">
        <f t="shared" ref="U716:U717" si="1806">U715</f>
        <v>10</v>
      </c>
      <c r="V716">
        <v>16</v>
      </c>
      <c r="W716">
        <f t="shared" ref="W716:W717" si="1807">W715</f>
        <v>1</v>
      </c>
      <c r="X716">
        <v>15</v>
      </c>
      <c r="Y716">
        <f t="shared" ref="Y716:Y717" si="1808">Y715</f>
        <v>0</v>
      </c>
      <c r="Z716">
        <v>20</v>
      </c>
      <c r="AA716">
        <v>25</v>
      </c>
      <c r="AB716">
        <v>47</v>
      </c>
      <c r="AC716">
        <v>70</v>
      </c>
      <c r="AD716">
        <v>45</v>
      </c>
      <c r="AE716">
        <v>48</v>
      </c>
      <c r="AF716">
        <v>59</v>
      </c>
      <c r="AG716">
        <v>77</v>
      </c>
      <c r="AH716">
        <v>69</v>
      </c>
      <c r="AI716">
        <v>40</v>
      </c>
      <c r="AJ716">
        <v>721</v>
      </c>
      <c r="AK716">
        <v>779</v>
      </c>
      <c r="AL716">
        <v>751</v>
      </c>
      <c r="AM716">
        <v>-1</v>
      </c>
      <c r="AN716">
        <v>0</v>
      </c>
      <c r="AO716">
        <v>0</v>
      </c>
      <c r="AP716">
        <v>0</v>
      </c>
      <c r="AQ716">
        <v>0</v>
      </c>
      <c r="AR716">
        <f t="shared" si="1791"/>
        <v>0</v>
      </c>
      <c r="AS716">
        <f>IF(AND(IFERROR(VLOOKUP(AJ716,Equip!$A:$N,13,FALSE),0)&gt;=5,IFERROR(VLOOKUP(AJ716,Equip!$A:$N,13,FALSE),0)&lt;=9),INT(VLOOKUP(AJ716,Equip!$A:$N,6,FALSE)*SQRT(AN716)),0)</f>
        <v>0</v>
      </c>
      <c r="AT716">
        <f>IF(AND(IFERROR(VLOOKUP(AK716,Equip!$A:$N,13,FALSE),0)&gt;=5,IFERROR(VLOOKUP(AK716,Equip!$A:$N,13,FALSE),0)&lt;=9),INT(VLOOKUP(AK716,Equip!$A:$N,6,FALSE)*SQRT(AO716)),0)</f>
        <v>0</v>
      </c>
      <c r="AU716">
        <f>IF(AND(IFERROR(VLOOKUP(AL716,Equip!$A:$N,13,FALSE),0)&gt;=5,IFERROR(VLOOKUP(AL716,Equip!$A:$N,13,FALSE),0)&lt;=9),INT(VLOOKUP(AL716,Equip!$A:$N,6,FALSE)*SQRT(AP716)),0)</f>
        <v>0</v>
      </c>
      <c r="AV716">
        <f>IF(AND(IFERROR(VLOOKUP(AM716,Equip!$A:$N,13,FALSE),0)&gt;=5,IFERROR(VLOOKUP(AM716,Equip!$A:$N,13,FALSE),0)&lt;=9),INT(VLOOKUP(AM716,Equip!$A:$N,6,FALSE)*SQRT(AQ716)),0)</f>
        <v>0</v>
      </c>
      <c r="AW716">
        <f t="shared" si="1773"/>
        <v>0</v>
      </c>
      <c r="AX716">
        <f t="shared" si="1774"/>
        <v>433</v>
      </c>
    </row>
    <row r="717" spans="1:50">
      <c r="A717">
        <v>725</v>
      </c>
      <c r="B717" t="s">
        <v>1395</v>
      </c>
      <c r="C717" t="s">
        <v>1395</v>
      </c>
      <c r="D717">
        <v>2</v>
      </c>
      <c r="E717">
        <f t="shared" si="1800"/>
        <v>1397</v>
      </c>
      <c r="F717">
        <f t="shared" si="1801"/>
        <v>803</v>
      </c>
      <c r="G717">
        <f t="shared" si="1802"/>
        <v>725</v>
      </c>
      <c r="H717">
        <f t="shared" si="1803"/>
        <v>0</v>
      </c>
      <c r="I717">
        <f t="shared" si="1804"/>
        <v>2</v>
      </c>
      <c r="J717">
        <f t="shared" si="1805"/>
        <v>7</v>
      </c>
      <c r="K717">
        <v>1</v>
      </c>
      <c r="L717">
        <v>1</v>
      </c>
      <c r="M717">
        <v>39</v>
      </c>
      <c r="N717">
        <v>39</v>
      </c>
      <c r="O717">
        <v>30</v>
      </c>
      <c r="P717">
        <v>31</v>
      </c>
      <c r="Q717">
        <v>52</v>
      </c>
      <c r="R717">
        <v>69</v>
      </c>
      <c r="S717">
        <v>33</v>
      </c>
      <c r="T717">
        <v>59</v>
      </c>
      <c r="U717">
        <f t="shared" si="1806"/>
        <v>10</v>
      </c>
      <c r="V717">
        <v>31</v>
      </c>
      <c r="W717">
        <f t="shared" si="1807"/>
        <v>1</v>
      </c>
      <c r="X717">
        <v>20</v>
      </c>
      <c r="Y717">
        <f t="shared" si="1808"/>
        <v>0</v>
      </c>
      <c r="Z717">
        <v>20</v>
      </c>
      <c r="AA717">
        <v>25</v>
      </c>
      <c r="AB717">
        <v>51</v>
      </c>
      <c r="AC717">
        <v>71</v>
      </c>
      <c r="AD717">
        <v>64</v>
      </c>
      <c r="AE717">
        <v>56</v>
      </c>
      <c r="AF717">
        <v>69</v>
      </c>
      <c r="AG717">
        <v>82</v>
      </c>
      <c r="AH717">
        <v>69</v>
      </c>
      <c r="AI717">
        <v>41</v>
      </c>
      <c r="AJ717">
        <v>750</v>
      </c>
      <c r="AK717">
        <v>750</v>
      </c>
      <c r="AL717">
        <v>0</v>
      </c>
      <c r="AM717">
        <v>-1</v>
      </c>
      <c r="AN717">
        <v>0</v>
      </c>
      <c r="AO717">
        <v>0</v>
      </c>
      <c r="AP717">
        <v>0</v>
      </c>
      <c r="AQ717">
        <v>0</v>
      </c>
      <c r="AR717">
        <f t="shared" si="1791"/>
        <v>0</v>
      </c>
      <c r="AS717">
        <f>IF(AND(IFERROR(VLOOKUP(AJ717,Equip!$A:$N,13,FALSE),0)&gt;=5,IFERROR(VLOOKUP(AJ717,Equip!$A:$N,13,FALSE),0)&lt;=9),INT(VLOOKUP(AJ717,Equip!$A:$N,6,FALSE)*SQRT(AN717)),0)</f>
        <v>0</v>
      </c>
      <c r="AT717">
        <f>IF(AND(IFERROR(VLOOKUP(AK717,Equip!$A:$N,13,FALSE),0)&gt;=5,IFERROR(VLOOKUP(AK717,Equip!$A:$N,13,FALSE),0)&lt;=9),INT(VLOOKUP(AK717,Equip!$A:$N,6,FALSE)*SQRT(AO717)),0)</f>
        <v>0</v>
      </c>
      <c r="AU717">
        <f>IF(AND(IFERROR(VLOOKUP(AL717,Equip!$A:$N,13,FALSE),0)&gt;=5,IFERROR(VLOOKUP(AL717,Equip!$A:$N,13,FALSE),0)&lt;=9),INT(VLOOKUP(AL717,Equip!$A:$N,6,FALSE)*SQRT(AP717)),0)</f>
        <v>0</v>
      </c>
      <c r="AV717">
        <f>IF(AND(IFERROR(VLOOKUP(AM717,Equip!$A:$N,13,FALSE),0)&gt;=5,IFERROR(VLOOKUP(AM717,Equip!$A:$N,13,FALSE),0)&lt;=9),INT(VLOOKUP(AM717,Equip!$A:$N,6,FALSE)*SQRT(AQ717)),0)</f>
        <v>0</v>
      </c>
      <c r="AW717">
        <f t="shared" si="1773"/>
        <v>0</v>
      </c>
      <c r="AX717">
        <f t="shared" si="1774"/>
        <v>473</v>
      </c>
    </row>
    <row r="718" spans="1:50">
      <c r="A718">
        <v>726</v>
      </c>
      <c r="B718" t="s">
        <v>1045</v>
      </c>
      <c r="C718" t="s">
        <v>1046</v>
      </c>
      <c r="D718">
        <v>0</v>
      </c>
      <c r="E718">
        <v>1258</v>
      </c>
      <c r="F718">
        <v>740</v>
      </c>
      <c r="G718">
        <v>726</v>
      </c>
      <c r="H718">
        <v>0</v>
      </c>
      <c r="I718">
        <v>5</v>
      </c>
      <c r="J718">
        <v>10</v>
      </c>
      <c r="K718">
        <v>1</v>
      </c>
      <c r="L718">
        <v>1</v>
      </c>
      <c r="M718">
        <v>14</v>
      </c>
      <c r="N718">
        <v>14</v>
      </c>
      <c r="O718">
        <v>9</v>
      </c>
      <c r="P718">
        <v>5</v>
      </c>
      <c r="Q718">
        <v>20</v>
      </c>
      <c r="R718">
        <v>36</v>
      </c>
      <c r="S718">
        <v>15</v>
      </c>
      <c r="T718">
        <v>28</v>
      </c>
      <c r="U718">
        <v>10</v>
      </c>
      <c r="V718">
        <v>5</v>
      </c>
      <c r="W718">
        <v>1</v>
      </c>
      <c r="X718">
        <v>10</v>
      </c>
      <c r="Y718">
        <v>0</v>
      </c>
      <c r="Z718">
        <v>10</v>
      </c>
      <c r="AA718">
        <v>25</v>
      </c>
      <c r="AB718">
        <v>29</v>
      </c>
      <c r="AC718">
        <v>70</v>
      </c>
      <c r="AD718">
        <v>45</v>
      </c>
      <c r="AE718">
        <v>20</v>
      </c>
      <c r="AF718">
        <v>49</v>
      </c>
      <c r="AG718">
        <v>76</v>
      </c>
      <c r="AH718">
        <v>58</v>
      </c>
      <c r="AI718">
        <v>15</v>
      </c>
      <c r="AJ718">
        <v>723</v>
      </c>
      <c r="AK718">
        <v>773</v>
      </c>
      <c r="AL718">
        <v>-1</v>
      </c>
      <c r="AM718">
        <v>-1</v>
      </c>
      <c r="AN718">
        <v>0</v>
      </c>
      <c r="AO718">
        <v>0</v>
      </c>
      <c r="AP718">
        <v>0</v>
      </c>
      <c r="AQ718">
        <v>0</v>
      </c>
      <c r="AR718">
        <f t="shared" si="1791"/>
        <v>0</v>
      </c>
      <c r="AS718">
        <f>IF(AND(IFERROR(VLOOKUP(AJ718,Equip!$A:$N,13,FALSE),0)&gt;=5,IFERROR(VLOOKUP(AJ718,Equip!$A:$N,13,FALSE),0)&lt;=9),INT(VLOOKUP(AJ718,Equip!$A:$N,6,FALSE)*SQRT(AN718)),0)</f>
        <v>0</v>
      </c>
      <c r="AT718">
        <f>IF(AND(IFERROR(VLOOKUP(AK718,Equip!$A:$N,13,FALSE),0)&gt;=5,IFERROR(VLOOKUP(AK718,Equip!$A:$N,13,FALSE),0)&lt;=9),INT(VLOOKUP(AK718,Equip!$A:$N,6,FALSE)*SQRT(AO718)),0)</f>
        <v>0</v>
      </c>
      <c r="AU718">
        <f>IF(AND(IFERROR(VLOOKUP(AL718,Equip!$A:$N,13,FALSE),0)&gt;=5,IFERROR(VLOOKUP(AL718,Equip!$A:$N,13,FALSE),0)&lt;=9),INT(VLOOKUP(AL718,Equip!$A:$N,6,FALSE)*SQRT(AP718)),0)</f>
        <v>0</v>
      </c>
      <c r="AV718">
        <f>IF(AND(IFERROR(VLOOKUP(AM718,Equip!$A:$N,13,FALSE),0)&gt;=5,IFERROR(VLOOKUP(AM718,Equip!$A:$N,13,FALSE),0)&lt;=9),INT(VLOOKUP(AM718,Equip!$A:$N,6,FALSE)*SQRT(AQ718)),0)</f>
        <v>0</v>
      </c>
      <c r="AW718">
        <f t="shared" si="1773"/>
        <v>0</v>
      </c>
      <c r="AX718">
        <f t="shared" si="1774"/>
        <v>327</v>
      </c>
    </row>
    <row r="719" spans="1:50">
      <c r="A719">
        <v>726</v>
      </c>
      <c r="B719" t="s">
        <v>1045</v>
      </c>
      <c r="C719" t="s">
        <v>1046</v>
      </c>
      <c r="D719">
        <v>1</v>
      </c>
      <c r="E719">
        <f t="shared" ref="E719:E720" si="1809">E718</f>
        <v>1258</v>
      </c>
      <c r="F719">
        <f t="shared" ref="F719:F720" si="1810">F718</f>
        <v>740</v>
      </c>
      <c r="G719">
        <f t="shared" ref="G719:G720" si="1811">G718</f>
        <v>726</v>
      </c>
      <c r="H719">
        <f t="shared" ref="H719:H720" si="1812">H718</f>
        <v>0</v>
      </c>
      <c r="I719">
        <f t="shared" ref="I719:I720" si="1813">I718</f>
        <v>5</v>
      </c>
      <c r="J719">
        <f t="shared" ref="J719:J720" si="1814">J718</f>
        <v>10</v>
      </c>
      <c r="K719">
        <v>1</v>
      </c>
      <c r="L719">
        <v>1</v>
      </c>
      <c r="M719">
        <v>29</v>
      </c>
      <c r="N719">
        <v>29</v>
      </c>
      <c r="O719">
        <v>15</v>
      </c>
      <c r="P719">
        <v>17</v>
      </c>
      <c r="Q719">
        <v>26</v>
      </c>
      <c r="R719">
        <v>46</v>
      </c>
      <c r="S719">
        <v>25</v>
      </c>
      <c r="T719">
        <v>33</v>
      </c>
      <c r="U719">
        <f t="shared" ref="U719:U720" si="1815">U718</f>
        <v>10</v>
      </c>
      <c r="V719">
        <v>7</v>
      </c>
      <c r="W719">
        <f t="shared" ref="W719:W720" si="1816">W718</f>
        <v>1</v>
      </c>
      <c r="X719">
        <v>12</v>
      </c>
      <c r="Y719">
        <f t="shared" ref="Y719:Y720" si="1817">Y718</f>
        <v>0</v>
      </c>
      <c r="Z719">
        <v>10</v>
      </c>
      <c r="AA719">
        <v>25</v>
      </c>
      <c r="AB719">
        <v>40</v>
      </c>
      <c r="AC719">
        <v>81</v>
      </c>
      <c r="AD719">
        <v>55</v>
      </c>
      <c r="AE719">
        <v>47</v>
      </c>
      <c r="AF719">
        <v>64</v>
      </c>
      <c r="AG719">
        <v>86</v>
      </c>
      <c r="AH719">
        <v>73</v>
      </c>
      <c r="AI719">
        <v>36</v>
      </c>
      <c r="AJ719">
        <v>723</v>
      </c>
      <c r="AK719">
        <v>718</v>
      </c>
      <c r="AL719">
        <v>780</v>
      </c>
      <c r="AM719">
        <v>-1</v>
      </c>
      <c r="AN719">
        <v>0</v>
      </c>
      <c r="AO719">
        <v>0</v>
      </c>
      <c r="AP719">
        <v>0</v>
      </c>
      <c r="AQ719">
        <v>0</v>
      </c>
      <c r="AR719">
        <f t="shared" si="1791"/>
        <v>0</v>
      </c>
      <c r="AS719">
        <f>IF(AND(IFERROR(VLOOKUP(AJ719,Equip!$A:$N,13,FALSE),0)&gt;=5,IFERROR(VLOOKUP(AJ719,Equip!$A:$N,13,FALSE),0)&lt;=9),INT(VLOOKUP(AJ719,Equip!$A:$N,6,FALSE)*SQRT(AN719)),0)</f>
        <v>0</v>
      </c>
      <c r="AT719">
        <f>IF(AND(IFERROR(VLOOKUP(AK719,Equip!$A:$N,13,FALSE),0)&gt;=5,IFERROR(VLOOKUP(AK719,Equip!$A:$N,13,FALSE),0)&lt;=9),INT(VLOOKUP(AK719,Equip!$A:$N,6,FALSE)*SQRT(AO719)),0)</f>
        <v>0</v>
      </c>
      <c r="AU719">
        <f>IF(AND(IFERROR(VLOOKUP(AL719,Equip!$A:$N,13,FALSE),0)&gt;=5,IFERROR(VLOOKUP(AL719,Equip!$A:$N,13,FALSE),0)&lt;=9),INT(VLOOKUP(AL719,Equip!$A:$N,6,FALSE)*SQRT(AP719)),0)</f>
        <v>0</v>
      </c>
      <c r="AV719">
        <f>IF(AND(IFERROR(VLOOKUP(AM719,Equip!$A:$N,13,FALSE),0)&gt;=5,IFERROR(VLOOKUP(AM719,Equip!$A:$N,13,FALSE),0)&lt;=9),INT(VLOOKUP(AM719,Equip!$A:$N,6,FALSE)*SQRT(AQ719)),0)</f>
        <v>0</v>
      </c>
      <c r="AW719">
        <f t="shared" si="1773"/>
        <v>0</v>
      </c>
      <c r="AX719">
        <f t="shared" si="1774"/>
        <v>447</v>
      </c>
    </row>
    <row r="720" spans="1:50">
      <c r="A720">
        <v>726</v>
      </c>
      <c r="B720" t="s">
        <v>1045</v>
      </c>
      <c r="C720" t="s">
        <v>1046</v>
      </c>
      <c r="D720">
        <v>2</v>
      </c>
      <c r="E720">
        <f t="shared" si="1809"/>
        <v>1258</v>
      </c>
      <c r="F720">
        <f t="shared" si="1810"/>
        <v>740</v>
      </c>
      <c r="G720">
        <f t="shared" si="1811"/>
        <v>726</v>
      </c>
      <c r="H720">
        <f t="shared" si="1812"/>
        <v>0</v>
      </c>
      <c r="I720">
        <f t="shared" si="1813"/>
        <v>5</v>
      </c>
      <c r="J720">
        <f t="shared" si="1814"/>
        <v>10</v>
      </c>
      <c r="K720">
        <v>1</v>
      </c>
      <c r="L720">
        <v>1</v>
      </c>
      <c r="M720">
        <v>31</v>
      </c>
      <c r="N720">
        <v>31</v>
      </c>
      <c r="O720">
        <v>25</v>
      </c>
      <c r="P720">
        <v>21</v>
      </c>
      <c r="Q720">
        <v>34</v>
      </c>
      <c r="R720">
        <v>55</v>
      </c>
      <c r="S720">
        <v>28</v>
      </c>
      <c r="T720">
        <v>36</v>
      </c>
      <c r="U720">
        <f t="shared" si="1815"/>
        <v>10</v>
      </c>
      <c r="V720">
        <v>10</v>
      </c>
      <c r="W720">
        <f t="shared" si="1816"/>
        <v>1</v>
      </c>
      <c r="X720">
        <v>13</v>
      </c>
      <c r="Y720">
        <f t="shared" si="1817"/>
        <v>0</v>
      </c>
      <c r="Z720">
        <v>10</v>
      </c>
      <c r="AA720">
        <v>25</v>
      </c>
      <c r="AB720">
        <v>45</v>
      </c>
      <c r="AC720">
        <v>86</v>
      </c>
      <c r="AD720">
        <v>55</v>
      </c>
      <c r="AE720">
        <v>50</v>
      </c>
      <c r="AF720">
        <v>69</v>
      </c>
      <c r="AG720">
        <v>98</v>
      </c>
      <c r="AH720">
        <v>73</v>
      </c>
      <c r="AI720">
        <v>38</v>
      </c>
      <c r="AJ720">
        <v>723</v>
      </c>
      <c r="AK720">
        <v>773</v>
      </c>
      <c r="AL720">
        <v>780</v>
      </c>
      <c r="AM720">
        <v>-1</v>
      </c>
      <c r="AN720">
        <v>0</v>
      </c>
      <c r="AO720">
        <v>0</v>
      </c>
      <c r="AP720">
        <v>0</v>
      </c>
      <c r="AQ720">
        <v>0</v>
      </c>
      <c r="AR720">
        <f t="shared" si="1791"/>
        <v>0</v>
      </c>
      <c r="AS720">
        <f>IF(AND(IFERROR(VLOOKUP(AJ720,Equip!$A:$N,13,FALSE),0)&gt;=5,IFERROR(VLOOKUP(AJ720,Equip!$A:$N,13,FALSE),0)&lt;=9),INT(VLOOKUP(AJ720,Equip!$A:$N,6,FALSE)*SQRT(AN720)),0)</f>
        <v>0</v>
      </c>
      <c r="AT720">
        <f>IF(AND(IFERROR(VLOOKUP(AK720,Equip!$A:$N,13,FALSE),0)&gt;=5,IFERROR(VLOOKUP(AK720,Equip!$A:$N,13,FALSE),0)&lt;=9),INT(VLOOKUP(AK720,Equip!$A:$N,6,FALSE)*SQRT(AO720)),0)</f>
        <v>0</v>
      </c>
      <c r="AU720">
        <f>IF(AND(IFERROR(VLOOKUP(AL720,Equip!$A:$N,13,FALSE),0)&gt;=5,IFERROR(VLOOKUP(AL720,Equip!$A:$N,13,FALSE),0)&lt;=9),INT(VLOOKUP(AL720,Equip!$A:$N,6,FALSE)*SQRT(AP720)),0)</f>
        <v>0</v>
      </c>
      <c r="AV720">
        <f>IF(AND(IFERROR(VLOOKUP(AM720,Equip!$A:$N,13,FALSE),0)&gt;=5,IFERROR(VLOOKUP(AM720,Equip!$A:$N,13,FALSE),0)&lt;=9),INT(VLOOKUP(AM720,Equip!$A:$N,6,FALSE)*SQRT(AQ720)),0)</f>
        <v>0</v>
      </c>
      <c r="AW720">
        <f t="shared" si="1773"/>
        <v>0</v>
      </c>
      <c r="AX720">
        <f t="shared" si="1774"/>
        <v>476</v>
      </c>
    </row>
    <row r="721" spans="1:50">
      <c r="A721">
        <v>727</v>
      </c>
      <c r="B721" t="s">
        <v>1260</v>
      </c>
      <c r="C721" t="s">
        <v>1047</v>
      </c>
      <c r="D721">
        <v>0</v>
      </c>
      <c r="E721">
        <v>1423</v>
      </c>
      <c r="F721">
        <v>815</v>
      </c>
      <c r="G721">
        <v>727</v>
      </c>
      <c r="H721">
        <v>1</v>
      </c>
      <c r="I721">
        <v>8</v>
      </c>
      <c r="J721">
        <v>8</v>
      </c>
      <c r="K721">
        <v>1</v>
      </c>
      <c r="L721">
        <v>1</v>
      </c>
      <c r="M721">
        <v>22</v>
      </c>
      <c r="N721">
        <v>22</v>
      </c>
      <c r="O721">
        <v>12</v>
      </c>
      <c r="P721">
        <v>7</v>
      </c>
      <c r="Q721">
        <v>25</v>
      </c>
      <c r="R721">
        <v>50</v>
      </c>
      <c r="S721">
        <v>15</v>
      </c>
      <c r="T721">
        <v>40</v>
      </c>
      <c r="U721">
        <v>14</v>
      </c>
      <c r="V721">
        <v>8</v>
      </c>
      <c r="W721">
        <v>1</v>
      </c>
      <c r="X721">
        <v>10</v>
      </c>
      <c r="Y721">
        <v>0</v>
      </c>
      <c r="Z721">
        <v>25</v>
      </c>
      <c r="AA721">
        <v>25</v>
      </c>
      <c r="AB721">
        <v>29</v>
      </c>
      <c r="AC721">
        <v>69</v>
      </c>
      <c r="AD721">
        <v>50</v>
      </c>
      <c r="AE721">
        <v>30</v>
      </c>
      <c r="AF721">
        <v>49</v>
      </c>
      <c r="AG721">
        <v>99</v>
      </c>
      <c r="AH721">
        <v>65</v>
      </c>
      <c r="AI721">
        <v>20</v>
      </c>
      <c r="AJ721">
        <v>726</v>
      </c>
      <c r="AK721">
        <v>783</v>
      </c>
      <c r="AL721">
        <v>-1</v>
      </c>
      <c r="AM721">
        <v>-1</v>
      </c>
      <c r="AN721">
        <v>0</v>
      </c>
      <c r="AO721">
        <v>0</v>
      </c>
      <c r="AP721">
        <v>0</v>
      </c>
      <c r="AQ721">
        <v>0</v>
      </c>
      <c r="AR721">
        <f t="shared" si="1791"/>
        <v>0</v>
      </c>
      <c r="AS721">
        <f>IF(AND(IFERROR(VLOOKUP(AJ721,Equip!$A:$N,13,FALSE),0)&gt;=5,IFERROR(VLOOKUP(AJ721,Equip!$A:$N,13,FALSE),0)&lt;=9),INT(VLOOKUP(AJ721,Equip!$A:$N,6,FALSE)*SQRT(AN721)),0)</f>
        <v>0</v>
      </c>
      <c r="AT721">
        <f>IF(AND(IFERROR(VLOOKUP(AK721,Equip!$A:$N,13,FALSE),0)&gt;=5,IFERROR(VLOOKUP(AK721,Equip!$A:$N,13,FALSE),0)&lt;=9),INT(VLOOKUP(AK721,Equip!$A:$N,6,FALSE)*SQRT(AO721)),0)</f>
        <v>0</v>
      </c>
      <c r="AU721">
        <f>IF(AND(IFERROR(VLOOKUP(AL721,Equip!$A:$N,13,FALSE),0)&gt;=5,IFERROR(VLOOKUP(AL721,Equip!$A:$N,13,FALSE),0)&lt;=9),INT(VLOOKUP(AL721,Equip!$A:$N,6,FALSE)*SQRT(AP721)),0)</f>
        <v>0</v>
      </c>
      <c r="AV721">
        <f>IF(AND(IFERROR(VLOOKUP(AM721,Equip!$A:$N,13,FALSE),0)&gt;=5,IFERROR(VLOOKUP(AM721,Equip!$A:$N,13,FALSE),0)&lt;=9),INT(VLOOKUP(AM721,Equip!$A:$N,6,FALSE)*SQRT(AQ721)),0)</f>
        <v>0</v>
      </c>
      <c r="AW721">
        <f t="shared" si="1773"/>
        <v>0</v>
      </c>
      <c r="AX721">
        <f t="shared" si="1774"/>
        <v>384</v>
      </c>
    </row>
    <row r="722" spans="1:50">
      <c r="A722">
        <v>727</v>
      </c>
      <c r="B722" t="s">
        <v>1260</v>
      </c>
      <c r="C722" t="s">
        <v>1047</v>
      </c>
      <c r="D722">
        <v>1</v>
      </c>
      <c r="E722">
        <f>E721</f>
        <v>1423</v>
      </c>
      <c r="F722">
        <f t="shared" ref="F722" si="1818">F721</f>
        <v>815</v>
      </c>
      <c r="G722">
        <f t="shared" ref="G722" si="1819">G721</f>
        <v>727</v>
      </c>
      <c r="H722">
        <f t="shared" ref="H722" si="1820">H721</f>
        <v>1</v>
      </c>
      <c r="I722">
        <f t="shared" ref="I722" si="1821">I721</f>
        <v>8</v>
      </c>
      <c r="J722">
        <f t="shared" ref="J722" si="1822">J721</f>
        <v>8</v>
      </c>
      <c r="K722">
        <v>1</v>
      </c>
      <c r="L722">
        <v>1</v>
      </c>
      <c r="M722">
        <v>37</v>
      </c>
      <c r="N722">
        <v>37</v>
      </c>
      <c r="O722">
        <v>15</v>
      </c>
      <c r="P722">
        <v>9</v>
      </c>
      <c r="Q722">
        <v>25</v>
      </c>
      <c r="R722">
        <v>60</v>
      </c>
      <c r="S722">
        <v>30</v>
      </c>
      <c r="T722">
        <v>40</v>
      </c>
      <c r="U722">
        <f t="shared" ref="U722" si="1823">U721</f>
        <v>14</v>
      </c>
      <c r="V722">
        <v>12</v>
      </c>
      <c r="W722">
        <v>2</v>
      </c>
      <c r="X722">
        <v>12</v>
      </c>
      <c r="Y722">
        <f t="shared" ref="Y722" si="1824">Y721</f>
        <v>0</v>
      </c>
      <c r="Z722">
        <v>25</v>
      </c>
      <c r="AA722">
        <v>25</v>
      </c>
      <c r="AB722">
        <v>49</v>
      </c>
      <c r="AC722">
        <v>79</v>
      </c>
      <c r="AD722">
        <v>76</v>
      </c>
      <c r="AE722">
        <v>49</v>
      </c>
      <c r="AF722">
        <v>59</v>
      </c>
      <c r="AG722">
        <v>99</v>
      </c>
      <c r="AH722">
        <v>80</v>
      </c>
      <c r="AI722">
        <v>40</v>
      </c>
      <c r="AJ722">
        <v>748</v>
      </c>
      <c r="AK722">
        <v>750</v>
      </c>
      <c r="AL722">
        <v>173</v>
      </c>
      <c r="AM722">
        <v>-1</v>
      </c>
      <c r="AN722">
        <v>0</v>
      </c>
      <c r="AO722">
        <v>0</v>
      </c>
      <c r="AP722">
        <v>0</v>
      </c>
      <c r="AQ722">
        <v>0</v>
      </c>
      <c r="AR722">
        <f t="shared" si="1791"/>
        <v>0</v>
      </c>
      <c r="AS722">
        <f>IF(AND(IFERROR(VLOOKUP(AJ722,Equip!$A:$N,13,FALSE),0)&gt;=5,IFERROR(VLOOKUP(AJ722,Equip!$A:$N,13,FALSE),0)&lt;=9),INT(VLOOKUP(AJ722,Equip!$A:$N,6,FALSE)*SQRT(AN722)),0)</f>
        <v>0</v>
      </c>
      <c r="AT722">
        <f>IF(AND(IFERROR(VLOOKUP(AK722,Equip!$A:$N,13,FALSE),0)&gt;=5,IFERROR(VLOOKUP(AK722,Equip!$A:$N,13,FALSE),0)&lt;=9),INT(VLOOKUP(AK722,Equip!$A:$N,6,FALSE)*SQRT(AO722)),0)</f>
        <v>0</v>
      </c>
      <c r="AU722">
        <f>IF(AND(IFERROR(VLOOKUP(AL722,Equip!$A:$N,13,FALSE),0)&gt;=5,IFERROR(VLOOKUP(AL722,Equip!$A:$N,13,FALSE),0)&lt;=9),INT(VLOOKUP(AL722,Equip!$A:$N,6,FALSE)*SQRT(AP722)),0)</f>
        <v>0</v>
      </c>
      <c r="AV722">
        <f>IF(AND(IFERROR(VLOOKUP(AM722,Equip!$A:$N,13,FALSE),0)&gt;=5,IFERROR(VLOOKUP(AM722,Equip!$A:$N,13,FALSE),0)&lt;=9),INT(VLOOKUP(AM722,Equip!$A:$N,6,FALSE)*SQRT(AQ722)),0)</f>
        <v>0</v>
      </c>
      <c r="AW722">
        <f t="shared" si="1773"/>
        <v>0</v>
      </c>
      <c r="AX722">
        <f t="shared" si="1774"/>
        <v>509</v>
      </c>
    </row>
    <row r="723" spans="1:50">
      <c r="A723">
        <v>728</v>
      </c>
      <c r="B723" t="s">
        <v>1048</v>
      </c>
      <c r="C723" t="s">
        <v>1049</v>
      </c>
      <c r="D723">
        <v>0</v>
      </c>
      <c r="E723">
        <v>1333</v>
      </c>
      <c r="F723">
        <v>770</v>
      </c>
      <c r="G723">
        <v>728</v>
      </c>
      <c r="H723">
        <v>0</v>
      </c>
      <c r="I723">
        <v>6</v>
      </c>
      <c r="J723">
        <v>0</v>
      </c>
      <c r="K723">
        <v>1</v>
      </c>
      <c r="L723">
        <v>1</v>
      </c>
      <c r="M723">
        <v>17</v>
      </c>
      <c r="N723">
        <v>17</v>
      </c>
      <c r="O723">
        <v>8</v>
      </c>
      <c r="P723">
        <v>7</v>
      </c>
      <c r="Q723">
        <v>20</v>
      </c>
      <c r="R723">
        <v>40</v>
      </c>
      <c r="S723">
        <v>24</v>
      </c>
      <c r="T723">
        <v>35</v>
      </c>
      <c r="U723">
        <v>10</v>
      </c>
      <c r="V723">
        <v>6</v>
      </c>
      <c r="W723">
        <v>1</v>
      </c>
      <c r="X723">
        <v>50</v>
      </c>
      <c r="Y723">
        <v>0</v>
      </c>
      <c r="Z723">
        <v>15</v>
      </c>
      <c r="AA723">
        <v>25</v>
      </c>
      <c r="AB723">
        <v>28</v>
      </c>
      <c r="AC723">
        <v>70</v>
      </c>
      <c r="AD723">
        <v>54</v>
      </c>
      <c r="AE723">
        <v>22</v>
      </c>
      <c r="AF723">
        <v>89</v>
      </c>
      <c r="AG723">
        <v>80</v>
      </c>
      <c r="AH723">
        <v>65</v>
      </c>
      <c r="AI723">
        <v>16</v>
      </c>
      <c r="AJ723">
        <v>725</v>
      </c>
      <c r="AK723">
        <v>714</v>
      </c>
      <c r="AL723">
        <v>-1</v>
      </c>
      <c r="AM723">
        <v>-1</v>
      </c>
      <c r="AN723">
        <v>0</v>
      </c>
      <c r="AO723">
        <v>0</v>
      </c>
      <c r="AP723">
        <v>0</v>
      </c>
      <c r="AQ723">
        <v>0</v>
      </c>
      <c r="AR723">
        <f t="shared" si="1791"/>
        <v>0</v>
      </c>
      <c r="AS723">
        <f>IF(AND(IFERROR(VLOOKUP(AJ723,Equip!$A:$N,13,FALSE),0)&gt;=5,IFERROR(VLOOKUP(AJ723,Equip!$A:$N,13,FALSE),0)&lt;=9),INT(VLOOKUP(AJ723,Equip!$A:$N,6,FALSE)*SQRT(AN723)),0)</f>
        <v>0</v>
      </c>
      <c r="AT723">
        <f>IF(AND(IFERROR(VLOOKUP(AK723,Equip!$A:$N,13,FALSE),0)&gt;=5,IFERROR(VLOOKUP(AK723,Equip!$A:$N,13,FALSE),0)&lt;=9),INT(VLOOKUP(AK723,Equip!$A:$N,6,FALSE)*SQRT(AO723)),0)</f>
        <v>0</v>
      </c>
      <c r="AU723">
        <f>IF(AND(IFERROR(VLOOKUP(AL723,Equip!$A:$N,13,FALSE),0)&gt;=5,IFERROR(VLOOKUP(AL723,Equip!$A:$N,13,FALSE),0)&lt;=9),INT(VLOOKUP(AL723,Equip!$A:$N,6,FALSE)*SQRT(AP723)),0)</f>
        <v>0</v>
      </c>
      <c r="AV723">
        <f>IF(AND(IFERROR(VLOOKUP(AM723,Equip!$A:$N,13,FALSE),0)&gt;=5,IFERROR(VLOOKUP(AM723,Equip!$A:$N,13,FALSE),0)&lt;=9),INT(VLOOKUP(AM723,Equip!$A:$N,6,FALSE)*SQRT(AQ723)),0)</f>
        <v>0</v>
      </c>
      <c r="AW723">
        <f t="shared" si="1773"/>
        <v>0</v>
      </c>
      <c r="AX723">
        <f t="shared" si="1774"/>
        <v>352</v>
      </c>
    </row>
    <row r="724" spans="1:50">
      <c r="A724">
        <v>728</v>
      </c>
      <c r="B724" t="s">
        <v>1048</v>
      </c>
      <c r="C724" t="s">
        <v>1049</v>
      </c>
      <c r="D724">
        <v>1</v>
      </c>
      <c r="E724">
        <f>E723</f>
        <v>1333</v>
      </c>
      <c r="F724">
        <f t="shared" ref="F724" si="1825">F723</f>
        <v>770</v>
      </c>
      <c r="G724">
        <f t="shared" ref="G724" si="1826">G723</f>
        <v>728</v>
      </c>
      <c r="H724">
        <f t="shared" ref="H724" si="1827">H723</f>
        <v>0</v>
      </c>
      <c r="I724">
        <f t="shared" ref="I724" si="1828">I723</f>
        <v>6</v>
      </c>
      <c r="J724">
        <f t="shared" ref="J724" si="1829">J723</f>
        <v>0</v>
      </c>
      <c r="K724">
        <v>1</v>
      </c>
      <c r="L724">
        <v>1</v>
      </c>
      <c r="M724">
        <v>33</v>
      </c>
      <c r="N724">
        <v>33</v>
      </c>
      <c r="O724">
        <v>8</v>
      </c>
      <c r="P724">
        <v>7</v>
      </c>
      <c r="Q724">
        <v>20</v>
      </c>
      <c r="R724">
        <v>50</v>
      </c>
      <c r="S724">
        <v>25</v>
      </c>
      <c r="T724">
        <v>41</v>
      </c>
      <c r="U724">
        <f t="shared" ref="U724" si="1830">U723</f>
        <v>10</v>
      </c>
      <c r="V724">
        <v>8</v>
      </c>
      <c r="W724">
        <f t="shared" ref="W724" si="1831">W723</f>
        <v>1</v>
      </c>
      <c r="X724">
        <v>52</v>
      </c>
      <c r="Y724">
        <f t="shared" ref="Y724" si="1832">Y723</f>
        <v>0</v>
      </c>
      <c r="Z724">
        <v>15</v>
      </c>
      <c r="AA724">
        <v>25</v>
      </c>
      <c r="AB724">
        <v>47</v>
      </c>
      <c r="AC724">
        <v>75</v>
      </c>
      <c r="AD724">
        <v>62</v>
      </c>
      <c r="AE724">
        <v>50</v>
      </c>
      <c r="AF724">
        <v>99</v>
      </c>
      <c r="AG724">
        <v>97</v>
      </c>
      <c r="AH724">
        <v>83</v>
      </c>
      <c r="AI724">
        <v>39</v>
      </c>
      <c r="AJ724">
        <v>725</v>
      </c>
      <c r="AK724">
        <v>714</v>
      </c>
      <c r="AL724">
        <v>0</v>
      </c>
      <c r="AM724">
        <v>-1</v>
      </c>
      <c r="AN724">
        <v>0</v>
      </c>
      <c r="AO724">
        <v>0</v>
      </c>
      <c r="AP724">
        <v>0</v>
      </c>
      <c r="AQ724">
        <v>0</v>
      </c>
      <c r="AR724">
        <f t="shared" si="1791"/>
        <v>0</v>
      </c>
      <c r="AS724">
        <f>IF(AND(IFERROR(VLOOKUP(AJ724,Equip!$A:$N,13,FALSE),0)&gt;=5,IFERROR(VLOOKUP(AJ724,Equip!$A:$N,13,FALSE),0)&lt;=9),INT(VLOOKUP(AJ724,Equip!$A:$N,6,FALSE)*SQRT(AN724)),0)</f>
        <v>0</v>
      </c>
      <c r="AT724">
        <f>IF(AND(IFERROR(VLOOKUP(AK724,Equip!$A:$N,13,FALSE),0)&gt;=5,IFERROR(VLOOKUP(AK724,Equip!$A:$N,13,FALSE),0)&lt;=9),INT(VLOOKUP(AK724,Equip!$A:$N,6,FALSE)*SQRT(AO724)),0)</f>
        <v>0</v>
      </c>
      <c r="AU724">
        <f>IF(AND(IFERROR(VLOOKUP(AL724,Equip!$A:$N,13,FALSE),0)&gt;=5,IFERROR(VLOOKUP(AL724,Equip!$A:$N,13,FALSE),0)&lt;=9),INT(VLOOKUP(AL724,Equip!$A:$N,6,FALSE)*SQRT(AP724)),0)</f>
        <v>0</v>
      </c>
      <c r="AV724">
        <f>IF(AND(IFERROR(VLOOKUP(AM724,Equip!$A:$N,13,FALSE),0)&gt;=5,IFERROR(VLOOKUP(AM724,Equip!$A:$N,13,FALSE),0)&lt;=9),INT(VLOOKUP(AM724,Equip!$A:$N,6,FALSE)*SQRT(AQ724)),0)</f>
        <v>0</v>
      </c>
      <c r="AW724">
        <f t="shared" si="1773"/>
        <v>0</v>
      </c>
      <c r="AX724">
        <f t="shared" si="1774"/>
        <v>486</v>
      </c>
    </row>
    <row r="725" spans="1:50">
      <c r="A725">
        <v>729</v>
      </c>
      <c r="B725" t="s">
        <v>1050</v>
      </c>
      <c r="C725" t="s">
        <v>1051</v>
      </c>
      <c r="D725">
        <v>0</v>
      </c>
      <c r="E725">
        <v>2525</v>
      </c>
      <c r="F725">
        <v>1363</v>
      </c>
      <c r="G725">
        <v>729</v>
      </c>
      <c r="H725">
        <v>2</v>
      </c>
      <c r="I725">
        <v>6</v>
      </c>
      <c r="J725">
        <v>9</v>
      </c>
      <c r="K725">
        <v>12</v>
      </c>
      <c r="L725">
        <v>4</v>
      </c>
      <c r="M725">
        <v>50</v>
      </c>
      <c r="N725">
        <v>50</v>
      </c>
      <c r="O725">
        <v>0</v>
      </c>
      <c r="P725">
        <v>30</v>
      </c>
      <c r="Q725">
        <v>0</v>
      </c>
      <c r="R725">
        <v>30</v>
      </c>
      <c r="S725">
        <v>40</v>
      </c>
      <c r="T725">
        <v>0</v>
      </c>
      <c r="U725">
        <v>10</v>
      </c>
      <c r="V725">
        <v>40</v>
      </c>
      <c r="W725">
        <v>1</v>
      </c>
      <c r="X725">
        <v>50</v>
      </c>
      <c r="Y725">
        <v>0</v>
      </c>
      <c r="Z725">
        <v>55</v>
      </c>
      <c r="AA725">
        <v>60</v>
      </c>
      <c r="AB725">
        <v>40</v>
      </c>
      <c r="AC725">
        <v>0</v>
      </c>
      <c r="AD725">
        <v>77</v>
      </c>
      <c r="AE725">
        <v>55</v>
      </c>
      <c r="AF725">
        <v>89</v>
      </c>
      <c r="AG725">
        <v>50</v>
      </c>
      <c r="AH725">
        <v>0</v>
      </c>
      <c r="AI725">
        <v>70</v>
      </c>
      <c r="AJ725">
        <v>756</v>
      </c>
      <c r="AK725">
        <v>196</v>
      </c>
      <c r="AL725">
        <v>0</v>
      </c>
      <c r="AM725">
        <v>0</v>
      </c>
      <c r="AN725">
        <v>15</v>
      </c>
      <c r="AO725">
        <v>15</v>
      </c>
      <c r="AP725">
        <v>35</v>
      </c>
      <c r="AQ725">
        <v>10</v>
      </c>
      <c r="AR725">
        <f t="shared" si="1791"/>
        <v>75</v>
      </c>
      <c r="AS725">
        <f>IF(AND(IFERROR(VLOOKUP(AJ725,Equip!$A:$N,13,FALSE),0)&gt;=5,IFERROR(VLOOKUP(AJ725,Equip!$A:$N,13,FALSE),0)&lt;=9),INT(VLOOKUP(AJ725,Equip!$A:$N,6,FALSE)*SQRT(AN725)),0)</f>
        <v>0</v>
      </c>
      <c r="AT725">
        <f>IF(AND(IFERROR(VLOOKUP(AK725,Equip!$A:$N,13,FALSE),0)&gt;=5,IFERROR(VLOOKUP(AK725,Equip!$A:$N,13,FALSE),0)&lt;=9),INT(VLOOKUP(AK725,Equip!$A:$N,6,FALSE)*SQRT(AO725)),0)</f>
        <v>0</v>
      </c>
      <c r="AU725">
        <f>IF(AND(IFERROR(VLOOKUP(AL725,Equip!$A:$N,13,FALSE),0)&gt;=5,IFERROR(VLOOKUP(AL725,Equip!$A:$N,13,FALSE),0)&lt;=9),INT(VLOOKUP(AL725,Equip!$A:$N,6,FALSE)*SQRT(AP725)),0)</f>
        <v>0</v>
      </c>
      <c r="AV725">
        <f>IF(AND(IFERROR(VLOOKUP(AM725,Equip!$A:$N,13,FALSE),0)&gt;=5,IFERROR(VLOOKUP(AM725,Equip!$A:$N,13,FALSE),0)&lt;=9),INT(VLOOKUP(AM725,Equip!$A:$N,6,FALSE)*SQRT(AQ725)),0)</f>
        <v>0</v>
      </c>
      <c r="AW725">
        <f t="shared" si="1773"/>
        <v>0</v>
      </c>
      <c r="AX725">
        <f t="shared" si="1774"/>
        <v>342</v>
      </c>
    </row>
    <row r="726" spans="1:50">
      <c r="A726">
        <v>729</v>
      </c>
      <c r="B726" t="s">
        <v>1050</v>
      </c>
      <c r="C726" t="s">
        <v>1051</v>
      </c>
      <c r="D726">
        <v>1</v>
      </c>
      <c r="E726">
        <f>E725</f>
        <v>2525</v>
      </c>
      <c r="F726">
        <f t="shared" ref="F726" si="1833">F725</f>
        <v>1363</v>
      </c>
      <c r="G726">
        <f t="shared" ref="G726" si="1834">G725</f>
        <v>729</v>
      </c>
      <c r="H726">
        <f t="shared" ref="H726" si="1835">H725</f>
        <v>2</v>
      </c>
      <c r="I726">
        <f t="shared" ref="I726" si="1836">I725</f>
        <v>6</v>
      </c>
      <c r="J726">
        <f t="shared" ref="J726" si="1837">J725</f>
        <v>9</v>
      </c>
      <c r="K726">
        <v>12</v>
      </c>
      <c r="L726">
        <v>4</v>
      </c>
      <c r="M726">
        <v>73</v>
      </c>
      <c r="N726">
        <v>73</v>
      </c>
      <c r="O726">
        <v>0</v>
      </c>
      <c r="P726">
        <v>36</v>
      </c>
      <c r="Q726">
        <v>0</v>
      </c>
      <c r="R726">
        <v>35</v>
      </c>
      <c r="S726">
        <v>65</v>
      </c>
      <c r="T726">
        <v>0</v>
      </c>
      <c r="U726">
        <f t="shared" ref="U726" si="1838">U725</f>
        <v>10</v>
      </c>
      <c r="V726">
        <v>52</v>
      </c>
      <c r="W726">
        <f t="shared" ref="W726" si="1839">W725</f>
        <v>1</v>
      </c>
      <c r="X726">
        <v>55</v>
      </c>
      <c r="Y726">
        <f t="shared" ref="Y726" si="1840">Y725</f>
        <v>0</v>
      </c>
      <c r="Z726">
        <v>85</v>
      </c>
      <c r="AA726">
        <v>90</v>
      </c>
      <c r="AB726">
        <v>49</v>
      </c>
      <c r="AC726">
        <v>0</v>
      </c>
      <c r="AD726">
        <v>95</v>
      </c>
      <c r="AE726">
        <v>72</v>
      </c>
      <c r="AF726">
        <v>99</v>
      </c>
      <c r="AG726">
        <v>70</v>
      </c>
      <c r="AH726">
        <v>0</v>
      </c>
      <c r="AI726">
        <v>86</v>
      </c>
      <c r="AJ726">
        <v>815</v>
      </c>
      <c r="AK726">
        <v>820</v>
      </c>
      <c r="AL726">
        <v>831</v>
      </c>
      <c r="AM726">
        <v>0</v>
      </c>
      <c r="AN726">
        <v>18</v>
      </c>
      <c r="AO726">
        <v>18</v>
      </c>
      <c r="AP726">
        <v>36</v>
      </c>
      <c r="AQ726">
        <v>15</v>
      </c>
      <c r="AR726">
        <f t="shared" si="1791"/>
        <v>87</v>
      </c>
      <c r="AS726">
        <f>IF(AND(IFERROR(VLOOKUP(AJ726,Equip!$A:$N,13,FALSE),0)&gt;=5,IFERROR(VLOOKUP(AJ726,Equip!$A:$N,13,FALSE),0)&lt;=9),INT(VLOOKUP(AJ726,Equip!$A:$N,6,FALSE)*SQRT(AN726)),0)</f>
        <v>0</v>
      </c>
      <c r="AT726">
        <f>IF(AND(IFERROR(VLOOKUP(AK726,Equip!$A:$N,13,FALSE),0)&gt;=5,IFERROR(VLOOKUP(AK726,Equip!$A:$N,13,FALSE),0)&lt;=9),INT(VLOOKUP(AK726,Equip!$A:$N,6,FALSE)*SQRT(AO726)),0)</f>
        <v>0</v>
      </c>
      <c r="AU726">
        <f>IF(AND(IFERROR(VLOOKUP(AL726,Equip!$A:$N,13,FALSE),0)&gt;=5,IFERROR(VLOOKUP(AL726,Equip!$A:$N,13,FALSE),0)&lt;=9),INT(VLOOKUP(AL726,Equip!$A:$N,6,FALSE)*SQRT(AP726)),0)</f>
        <v>0</v>
      </c>
      <c r="AV726">
        <f>IF(AND(IFERROR(VLOOKUP(AM726,Equip!$A:$N,13,FALSE),0)&gt;=5,IFERROR(VLOOKUP(AM726,Equip!$A:$N,13,FALSE),0)&lt;=9),INT(VLOOKUP(AM726,Equip!$A:$N,6,FALSE)*SQRT(AQ726)),0)</f>
        <v>0</v>
      </c>
      <c r="AW726">
        <f t="shared" si="1773"/>
        <v>0</v>
      </c>
      <c r="AX726">
        <f t="shared" si="1774"/>
        <v>445</v>
      </c>
    </row>
    <row r="727" spans="1:50">
      <c r="A727">
        <v>730</v>
      </c>
      <c r="B727" t="s">
        <v>1052</v>
      </c>
      <c r="C727" t="s">
        <v>1053</v>
      </c>
      <c r="D727">
        <v>0</v>
      </c>
      <c r="E727">
        <v>2491</v>
      </c>
      <c r="F727">
        <v>1342</v>
      </c>
      <c r="G727">
        <v>730</v>
      </c>
      <c r="H727">
        <v>1</v>
      </c>
      <c r="I727">
        <v>6</v>
      </c>
      <c r="J727">
        <v>10</v>
      </c>
      <c r="K727">
        <v>12</v>
      </c>
      <c r="L727">
        <v>4</v>
      </c>
      <c r="M727">
        <v>70</v>
      </c>
      <c r="N727">
        <v>70</v>
      </c>
      <c r="O727">
        <v>0</v>
      </c>
      <c r="P727">
        <v>34</v>
      </c>
      <c r="Q727">
        <v>0</v>
      </c>
      <c r="R727">
        <v>29</v>
      </c>
      <c r="S727">
        <v>40</v>
      </c>
      <c r="T727">
        <v>0</v>
      </c>
      <c r="U727">
        <v>10</v>
      </c>
      <c r="V727">
        <v>48</v>
      </c>
      <c r="W727">
        <v>1</v>
      </c>
      <c r="X727">
        <v>20</v>
      </c>
      <c r="Y727">
        <v>0</v>
      </c>
      <c r="Z727">
        <v>65</v>
      </c>
      <c r="AA727">
        <v>70</v>
      </c>
      <c r="AB727">
        <v>39</v>
      </c>
      <c r="AC727">
        <v>0</v>
      </c>
      <c r="AD727">
        <v>80</v>
      </c>
      <c r="AE727">
        <v>59</v>
      </c>
      <c r="AF727">
        <v>59</v>
      </c>
      <c r="AG727">
        <v>49</v>
      </c>
      <c r="AH727">
        <v>0</v>
      </c>
      <c r="AI727">
        <v>73</v>
      </c>
      <c r="AJ727">
        <v>793</v>
      </c>
      <c r="AK727">
        <v>766</v>
      </c>
      <c r="AL727">
        <v>205</v>
      </c>
      <c r="AM727">
        <v>0</v>
      </c>
      <c r="AN727">
        <v>18</v>
      </c>
      <c r="AO727">
        <v>18</v>
      </c>
      <c r="AP727">
        <v>36</v>
      </c>
      <c r="AQ727">
        <v>18</v>
      </c>
      <c r="AR727">
        <f t="shared" si="1791"/>
        <v>90</v>
      </c>
      <c r="AS727">
        <f>IF(AND(IFERROR(VLOOKUP(AJ727,Equip!$A:$N,13,FALSE),0)&gt;=5,IFERROR(VLOOKUP(AJ727,Equip!$A:$N,13,FALSE),0)&lt;=9),INT(VLOOKUP(AJ727,Equip!$A:$N,6,FALSE)*SQRT(AN727)),0)</f>
        <v>0</v>
      </c>
      <c r="AT727">
        <f>IF(AND(IFERROR(VLOOKUP(AK727,Equip!$A:$N,13,FALSE),0)&gt;=5,IFERROR(VLOOKUP(AK727,Equip!$A:$N,13,FALSE),0)&lt;=9),INT(VLOOKUP(AK727,Equip!$A:$N,6,FALSE)*SQRT(AO727)),0)</f>
        <v>0</v>
      </c>
      <c r="AU727">
        <f>IF(AND(IFERROR(VLOOKUP(AL727,Equip!$A:$N,13,FALSE),0)&gt;=5,IFERROR(VLOOKUP(AL727,Equip!$A:$N,13,FALSE),0)&lt;=9),INT(VLOOKUP(AL727,Equip!$A:$N,6,FALSE)*SQRT(AP727)),0)</f>
        <v>0</v>
      </c>
      <c r="AV727">
        <f>IF(AND(IFERROR(VLOOKUP(AM727,Equip!$A:$N,13,FALSE),0)&gt;=5,IFERROR(VLOOKUP(AM727,Equip!$A:$N,13,FALSE),0)&lt;=9),INT(VLOOKUP(AM727,Equip!$A:$N,6,FALSE)*SQRT(AQ727)),0)</f>
        <v>0</v>
      </c>
      <c r="AW727">
        <f t="shared" si="1773"/>
        <v>0</v>
      </c>
      <c r="AX727">
        <f t="shared" si="1774"/>
        <v>370</v>
      </c>
    </row>
    <row r="728" spans="1:50">
      <c r="A728">
        <v>730</v>
      </c>
      <c r="B728" t="s">
        <v>1052</v>
      </c>
      <c r="C728" t="s">
        <v>1053</v>
      </c>
      <c r="D728">
        <v>1</v>
      </c>
      <c r="E728">
        <f>E727</f>
        <v>2491</v>
      </c>
      <c r="F728">
        <f t="shared" ref="F728" si="1841">F727</f>
        <v>1342</v>
      </c>
      <c r="G728">
        <f t="shared" ref="G728" si="1842">G727</f>
        <v>730</v>
      </c>
      <c r="H728">
        <f t="shared" ref="H728" si="1843">H727</f>
        <v>1</v>
      </c>
      <c r="I728">
        <f t="shared" ref="I728" si="1844">I727</f>
        <v>6</v>
      </c>
      <c r="J728">
        <f t="shared" ref="J728" si="1845">J727</f>
        <v>10</v>
      </c>
      <c r="K728">
        <v>12</v>
      </c>
      <c r="L728">
        <v>4</v>
      </c>
      <c r="M728">
        <v>79</v>
      </c>
      <c r="N728">
        <v>79</v>
      </c>
      <c r="O728">
        <v>0</v>
      </c>
      <c r="P728">
        <v>39</v>
      </c>
      <c r="Q728">
        <v>0</v>
      </c>
      <c r="R728">
        <v>35</v>
      </c>
      <c r="S728">
        <v>65</v>
      </c>
      <c r="T728">
        <v>0</v>
      </c>
      <c r="U728">
        <f t="shared" ref="U728" si="1846">U727</f>
        <v>10</v>
      </c>
      <c r="V728">
        <v>54</v>
      </c>
      <c r="W728">
        <f t="shared" ref="W728" si="1847">W727</f>
        <v>1</v>
      </c>
      <c r="X728">
        <v>25</v>
      </c>
      <c r="Y728">
        <f t="shared" ref="Y728" si="1848">Y727</f>
        <v>0</v>
      </c>
      <c r="Z728">
        <v>90</v>
      </c>
      <c r="AA728">
        <v>95</v>
      </c>
      <c r="AB728">
        <v>45</v>
      </c>
      <c r="AC728">
        <v>0</v>
      </c>
      <c r="AD728">
        <v>95</v>
      </c>
      <c r="AE728">
        <v>75</v>
      </c>
      <c r="AF728">
        <v>79</v>
      </c>
      <c r="AG728">
        <v>70</v>
      </c>
      <c r="AH728">
        <v>0</v>
      </c>
      <c r="AI728">
        <v>89</v>
      </c>
      <c r="AJ728">
        <v>830</v>
      </c>
      <c r="AK728">
        <v>763</v>
      </c>
      <c r="AL728">
        <v>206</v>
      </c>
      <c r="AM728">
        <v>0</v>
      </c>
      <c r="AN728">
        <v>20</v>
      </c>
      <c r="AO728">
        <v>20</v>
      </c>
      <c r="AP728">
        <v>37</v>
      </c>
      <c r="AQ728">
        <v>18</v>
      </c>
      <c r="AR728">
        <f t="shared" si="1791"/>
        <v>95</v>
      </c>
      <c r="AS728">
        <f>IF(AND(IFERROR(VLOOKUP(AJ728,Equip!$A:$N,13,FALSE),0)&gt;=5,IFERROR(VLOOKUP(AJ728,Equip!$A:$N,13,FALSE),0)&lt;=9),INT(VLOOKUP(AJ728,Equip!$A:$N,6,FALSE)*SQRT(AN728)),0)</f>
        <v>0</v>
      </c>
      <c r="AT728">
        <f>IF(AND(IFERROR(VLOOKUP(AK728,Equip!$A:$N,13,FALSE),0)&gt;=5,IFERROR(VLOOKUP(AK728,Equip!$A:$N,13,FALSE),0)&lt;=9),INT(VLOOKUP(AK728,Equip!$A:$N,6,FALSE)*SQRT(AO728)),0)</f>
        <v>0</v>
      </c>
      <c r="AU728">
        <f>IF(AND(IFERROR(VLOOKUP(AL728,Equip!$A:$N,13,FALSE),0)&gt;=5,IFERROR(VLOOKUP(AL728,Equip!$A:$N,13,FALSE),0)&lt;=9),INT(VLOOKUP(AL728,Equip!$A:$N,6,FALSE)*SQRT(AP728)),0)</f>
        <v>0</v>
      </c>
      <c r="AV728">
        <f>IF(AND(IFERROR(VLOOKUP(AM728,Equip!$A:$N,13,FALSE),0)&gt;=5,IFERROR(VLOOKUP(AM728,Equip!$A:$N,13,FALSE),0)&lt;=9),INT(VLOOKUP(AM728,Equip!$A:$N,6,FALSE)*SQRT(AQ728)),0)</f>
        <v>0</v>
      </c>
      <c r="AW728">
        <f t="shared" si="1773"/>
        <v>0</v>
      </c>
      <c r="AX728">
        <f t="shared" si="1774"/>
        <v>453</v>
      </c>
    </row>
    <row r="729" spans="1:50">
      <c r="A729">
        <v>731</v>
      </c>
      <c r="B729" t="s">
        <v>1054</v>
      </c>
      <c r="C729" t="s">
        <v>1055</v>
      </c>
      <c r="D729">
        <v>0</v>
      </c>
      <c r="E729">
        <v>1761</v>
      </c>
      <c r="F729">
        <v>980</v>
      </c>
      <c r="G729">
        <v>731</v>
      </c>
      <c r="H729">
        <v>1</v>
      </c>
      <c r="I729">
        <v>6</v>
      </c>
      <c r="J729">
        <v>3</v>
      </c>
      <c r="K729">
        <v>9</v>
      </c>
      <c r="L729">
        <v>4</v>
      </c>
      <c r="M729">
        <v>36</v>
      </c>
      <c r="N729">
        <v>36</v>
      </c>
      <c r="O729">
        <v>0</v>
      </c>
      <c r="P729">
        <v>20</v>
      </c>
      <c r="Q729">
        <v>0</v>
      </c>
      <c r="R729">
        <v>28</v>
      </c>
      <c r="S729">
        <v>35</v>
      </c>
      <c r="T729">
        <v>0</v>
      </c>
      <c r="U729">
        <v>10</v>
      </c>
      <c r="V729">
        <v>39</v>
      </c>
      <c r="W729">
        <v>1</v>
      </c>
      <c r="X729">
        <v>10</v>
      </c>
      <c r="Y729">
        <v>0</v>
      </c>
      <c r="Z729">
        <v>35</v>
      </c>
      <c r="AA729">
        <v>40</v>
      </c>
      <c r="AB729">
        <v>20</v>
      </c>
      <c r="AC729">
        <v>0</v>
      </c>
      <c r="AD729">
        <v>60</v>
      </c>
      <c r="AE729">
        <v>40</v>
      </c>
      <c r="AF729">
        <v>49</v>
      </c>
      <c r="AG729">
        <v>48</v>
      </c>
      <c r="AH729">
        <v>0</v>
      </c>
      <c r="AI729">
        <v>74</v>
      </c>
      <c r="AJ729">
        <v>766</v>
      </c>
      <c r="AK729">
        <v>197</v>
      </c>
      <c r="AL729">
        <v>0</v>
      </c>
      <c r="AM729">
        <v>-1</v>
      </c>
      <c r="AN729">
        <v>10</v>
      </c>
      <c r="AO729">
        <v>15</v>
      </c>
      <c r="AP729">
        <v>10</v>
      </c>
      <c r="AQ729">
        <v>0</v>
      </c>
      <c r="AR729">
        <f t="shared" si="1791"/>
        <v>35</v>
      </c>
      <c r="AS729">
        <f>IF(AND(IFERROR(VLOOKUP(AJ729,Equip!$A:$N,13,FALSE),0)&gt;=5,IFERROR(VLOOKUP(AJ729,Equip!$A:$N,13,FALSE),0)&lt;=9),INT(VLOOKUP(AJ729,Equip!$A:$N,6,FALSE)*SQRT(AN729)),0)</f>
        <v>0</v>
      </c>
      <c r="AT729">
        <f>IF(AND(IFERROR(VLOOKUP(AK729,Equip!$A:$N,13,FALSE),0)&gt;=5,IFERROR(VLOOKUP(AK729,Equip!$A:$N,13,FALSE),0)&lt;=9),INT(VLOOKUP(AK729,Equip!$A:$N,6,FALSE)*SQRT(AO729)),0)</f>
        <v>0</v>
      </c>
      <c r="AU729">
        <f>IF(AND(IFERROR(VLOOKUP(AL729,Equip!$A:$N,13,FALSE),0)&gt;=5,IFERROR(VLOOKUP(AL729,Equip!$A:$N,13,FALSE),0)&lt;=9),INT(VLOOKUP(AL729,Equip!$A:$N,6,FALSE)*SQRT(AP729)),0)</f>
        <v>0</v>
      </c>
      <c r="AV729">
        <f>IF(AND(IFERROR(VLOOKUP(AM729,Equip!$A:$N,13,FALSE),0)&gt;=5,IFERROR(VLOOKUP(AM729,Equip!$A:$N,13,FALSE),0)&lt;=9),INT(VLOOKUP(AM729,Equip!$A:$N,6,FALSE)*SQRT(AQ729)),0)</f>
        <v>0</v>
      </c>
      <c r="AW729">
        <f t="shared" si="1773"/>
        <v>0</v>
      </c>
      <c r="AX729">
        <f t="shared" si="1774"/>
        <v>278</v>
      </c>
    </row>
    <row r="730" spans="1:50">
      <c r="A730">
        <v>731</v>
      </c>
      <c r="B730" t="s">
        <v>1054</v>
      </c>
      <c r="C730" t="s">
        <v>1055</v>
      </c>
      <c r="D730">
        <v>1</v>
      </c>
      <c r="E730">
        <f>E729</f>
        <v>1761</v>
      </c>
      <c r="F730">
        <f t="shared" ref="F730" si="1849">F729</f>
        <v>980</v>
      </c>
      <c r="G730">
        <f t="shared" ref="G730" si="1850">G729</f>
        <v>731</v>
      </c>
      <c r="H730">
        <f t="shared" ref="H730" si="1851">H729</f>
        <v>1</v>
      </c>
      <c r="I730">
        <f t="shared" ref="I730" si="1852">I729</f>
        <v>6</v>
      </c>
      <c r="J730">
        <f t="shared" ref="J730" si="1853">J729</f>
        <v>3</v>
      </c>
      <c r="K730">
        <v>9</v>
      </c>
      <c r="L730">
        <v>4</v>
      </c>
      <c r="M730">
        <v>51</v>
      </c>
      <c r="N730">
        <v>51</v>
      </c>
      <c r="O730">
        <v>5</v>
      </c>
      <c r="P730">
        <v>30</v>
      </c>
      <c r="Q730">
        <v>0</v>
      </c>
      <c r="R730">
        <v>34</v>
      </c>
      <c r="S730">
        <v>40</v>
      </c>
      <c r="T730">
        <v>0</v>
      </c>
      <c r="U730">
        <f t="shared" ref="U730" si="1854">U729</f>
        <v>10</v>
      </c>
      <c r="V730">
        <v>59</v>
      </c>
      <c r="W730">
        <f t="shared" ref="W730" si="1855">W729</f>
        <v>1</v>
      </c>
      <c r="X730">
        <v>12</v>
      </c>
      <c r="Y730">
        <f t="shared" ref="Y730" si="1856">Y729</f>
        <v>0</v>
      </c>
      <c r="Z730">
        <v>40</v>
      </c>
      <c r="AA730">
        <v>45</v>
      </c>
      <c r="AB730">
        <v>30</v>
      </c>
      <c r="AC730">
        <v>0</v>
      </c>
      <c r="AD730">
        <v>71</v>
      </c>
      <c r="AE730">
        <v>59</v>
      </c>
      <c r="AF730">
        <v>59</v>
      </c>
      <c r="AG730">
        <v>61</v>
      </c>
      <c r="AH730">
        <v>0</v>
      </c>
      <c r="AI730">
        <v>79</v>
      </c>
      <c r="AJ730">
        <v>870</v>
      </c>
      <c r="AK730">
        <v>205</v>
      </c>
      <c r="AL730">
        <v>830</v>
      </c>
      <c r="AM730">
        <v>0</v>
      </c>
      <c r="AN730">
        <v>12</v>
      </c>
      <c r="AO730">
        <v>19</v>
      </c>
      <c r="AP730">
        <v>12</v>
      </c>
      <c r="AQ730">
        <v>7</v>
      </c>
      <c r="AR730">
        <f t="shared" si="1791"/>
        <v>50</v>
      </c>
      <c r="AS730">
        <f>IF(AND(IFERROR(VLOOKUP(AJ730,Equip!$A:$N,13,FALSE),0)&gt;=5,IFERROR(VLOOKUP(AJ730,Equip!$A:$N,13,FALSE),0)&lt;=9),INT(VLOOKUP(AJ730,Equip!$A:$N,6,FALSE)*SQRT(AN730)),0)</f>
        <v>0</v>
      </c>
      <c r="AT730">
        <f>IF(AND(IFERROR(VLOOKUP(AK730,Equip!$A:$N,13,FALSE),0)&gt;=5,IFERROR(VLOOKUP(AK730,Equip!$A:$N,13,FALSE),0)&lt;=9),INT(VLOOKUP(AK730,Equip!$A:$N,6,FALSE)*SQRT(AO730)),0)</f>
        <v>0</v>
      </c>
      <c r="AU730">
        <f>IF(AND(IFERROR(VLOOKUP(AL730,Equip!$A:$N,13,FALSE),0)&gt;=5,IFERROR(VLOOKUP(AL730,Equip!$A:$N,13,FALSE),0)&lt;=9),INT(VLOOKUP(AL730,Equip!$A:$N,6,FALSE)*SQRT(AP730)),0)</f>
        <v>0</v>
      </c>
      <c r="AV730">
        <f>IF(AND(IFERROR(VLOOKUP(AM730,Equip!$A:$N,13,FALSE),0)&gt;=5,IFERROR(VLOOKUP(AM730,Equip!$A:$N,13,FALSE),0)&lt;=9),INT(VLOOKUP(AM730,Equip!$A:$N,6,FALSE)*SQRT(AQ730)),0)</f>
        <v>0</v>
      </c>
      <c r="AW730">
        <f t="shared" si="1773"/>
        <v>0</v>
      </c>
      <c r="AX730">
        <f t="shared" si="1774"/>
        <v>351</v>
      </c>
    </row>
    <row r="731" spans="1:50">
      <c r="A731">
        <v>732</v>
      </c>
      <c r="B731" t="s">
        <v>1056</v>
      </c>
      <c r="C731" t="s">
        <v>1057</v>
      </c>
      <c r="D731">
        <v>0</v>
      </c>
      <c r="E731">
        <v>1155</v>
      </c>
      <c r="F731">
        <v>704</v>
      </c>
      <c r="G731">
        <v>732</v>
      </c>
      <c r="H731">
        <v>0</v>
      </c>
      <c r="I731">
        <v>6</v>
      </c>
      <c r="J731">
        <v>12</v>
      </c>
      <c r="K731">
        <v>14</v>
      </c>
      <c r="L731">
        <v>1</v>
      </c>
      <c r="M731">
        <v>12</v>
      </c>
      <c r="N731">
        <v>12</v>
      </c>
      <c r="O731">
        <v>2</v>
      </c>
      <c r="P731">
        <v>4</v>
      </c>
      <c r="Q731">
        <v>24</v>
      </c>
      <c r="R731">
        <v>20</v>
      </c>
      <c r="S731">
        <v>0</v>
      </c>
      <c r="T731">
        <v>0</v>
      </c>
      <c r="U731">
        <v>5</v>
      </c>
      <c r="V731">
        <v>12</v>
      </c>
      <c r="W731">
        <v>1</v>
      </c>
      <c r="X731">
        <v>25</v>
      </c>
      <c r="Y731">
        <v>0</v>
      </c>
      <c r="Z731">
        <v>15</v>
      </c>
      <c r="AA731">
        <v>20</v>
      </c>
      <c r="AB731">
        <v>9</v>
      </c>
      <c r="AC731">
        <v>74</v>
      </c>
      <c r="AD731">
        <v>0</v>
      </c>
      <c r="AE731">
        <v>16</v>
      </c>
      <c r="AF731">
        <v>49</v>
      </c>
      <c r="AG731">
        <v>40</v>
      </c>
      <c r="AH731">
        <v>0</v>
      </c>
      <c r="AI731">
        <v>42</v>
      </c>
      <c r="AJ731">
        <v>799</v>
      </c>
      <c r="AK731">
        <v>0</v>
      </c>
      <c r="AL731">
        <v>-1</v>
      </c>
      <c r="AM731">
        <v>-1</v>
      </c>
      <c r="AN731">
        <v>0</v>
      </c>
      <c r="AO731">
        <v>0</v>
      </c>
      <c r="AP731">
        <v>0</v>
      </c>
      <c r="AQ731">
        <v>0</v>
      </c>
      <c r="AR731">
        <f t="shared" si="1791"/>
        <v>0</v>
      </c>
      <c r="AS731">
        <f>IF(AND(IFERROR(VLOOKUP(AJ731,Equip!$A:$N,13,FALSE),0)&gt;=5,IFERROR(VLOOKUP(AJ731,Equip!$A:$N,13,FALSE),0)&lt;=9),INT(VLOOKUP(AJ731,Equip!$A:$N,6,FALSE)*SQRT(AN731)),0)</f>
        <v>0</v>
      </c>
      <c r="AT731">
        <f>IF(AND(IFERROR(VLOOKUP(AK731,Equip!$A:$N,13,FALSE),0)&gt;=5,IFERROR(VLOOKUP(AK731,Equip!$A:$N,13,FALSE),0)&lt;=9),INT(VLOOKUP(AK731,Equip!$A:$N,6,FALSE)*SQRT(AO731)),0)</f>
        <v>0</v>
      </c>
      <c r="AU731">
        <f>IF(AND(IFERROR(VLOOKUP(AL731,Equip!$A:$N,13,FALSE),0)&gt;=5,IFERROR(VLOOKUP(AL731,Equip!$A:$N,13,FALSE),0)&lt;=9),INT(VLOOKUP(AL731,Equip!$A:$N,6,FALSE)*SQRT(AP731)),0)</f>
        <v>0</v>
      </c>
      <c r="AV731">
        <f>IF(AND(IFERROR(VLOOKUP(AM731,Equip!$A:$N,13,FALSE),0)&gt;=5,IFERROR(VLOOKUP(AM731,Equip!$A:$N,13,FALSE),0)&lt;=9),INT(VLOOKUP(AM731,Equip!$A:$N,6,FALSE)*SQRT(AQ731)),0)</f>
        <v>0</v>
      </c>
      <c r="AW731">
        <f t="shared" si="1773"/>
        <v>0</v>
      </c>
      <c r="AX731">
        <f t="shared" si="1774"/>
        <v>193</v>
      </c>
    </row>
    <row r="732" spans="1:50">
      <c r="A732">
        <v>732</v>
      </c>
      <c r="B732" t="s">
        <v>1056</v>
      </c>
      <c r="C732" t="s">
        <v>1057</v>
      </c>
      <c r="D732">
        <v>1</v>
      </c>
      <c r="E732">
        <f>E731</f>
        <v>1155</v>
      </c>
      <c r="F732">
        <f t="shared" ref="F732" si="1857">F731</f>
        <v>704</v>
      </c>
      <c r="G732">
        <f t="shared" ref="G732" si="1858">G731</f>
        <v>732</v>
      </c>
      <c r="H732">
        <f t="shared" ref="H732" si="1859">H731</f>
        <v>0</v>
      </c>
      <c r="I732">
        <f t="shared" ref="I732" si="1860">I731</f>
        <v>6</v>
      </c>
      <c r="J732">
        <f t="shared" ref="J732" si="1861">J731</f>
        <v>12</v>
      </c>
      <c r="K732">
        <v>14</v>
      </c>
      <c r="L732">
        <v>1</v>
      </c>
      <c r="M732">
        <v>17</v>
      </c>
      <c r="N732">
        <v>17</v>
      </c>
      <c r="O732">
        <v>3</v>
      </c>
      <c r="P732">
        <v>4</v>
      </c>
      <c r="Q732">
        <v>34</v>
      </c>
      <c r="R732">
        <v>20</v>
      </c>
      <c r="S732">
        <v>0</v>
      </c>
      <c r="T732">
        <v>0</v>
      </c>
      <c r="U732">
        <f t="shared" ref="U732" si="1862">U731</f>
        <v>5</v>
      </c>
      <c r="V732">
        <v>16</v>
      </c>
      <c r="W732">
        <f t="shared" ref="W732" si="1863">W731</f>
        <v>1</v>
      </c>
      <c r="X732">
        <v>25</v>
      </c>
      <c r="Y732">
        <f t="shared" ref="Y732" si="1864">Y731</f>
        <v>0</v>
      </c>
      <c r="Z732">
        <v>20</v>
      </c>
      <c r="AA732">
        <v>25</v>
      </c>
      <c r="AB732">
        <v>12</v>
      </c>
      <c r="AC732">
        <v>89</v>
      </c>
      <c r="AD732">
        <v>0</v>
      </c>
      <c r="AE732">
        <v>17</v>
      </c>
      <c r="AF732">
        <v>69</v>
      </c>
      <c r="AG732">
        <v>45</v>
      </c>
      <c r="AH732">
        <v>0</v>
      </c>
      <c r="AI732">
        <v>46</v>
      </c>
      <c r="AJ732">
        <v>871</v>
      </c>
      <c r="AK732">
        <v>0</v>
      </c>
      <c r="AL732">
        <v>-1</v>
      </c>
      <c r="AM732">
        <v>-1</v>
      </c>
      <c r="AN732">
        <v>0</v>
      </c>
      <c r="AO732">
        <v>0</v>
      </c>
      <c r="AP732">
        <v>0</v>
      </c>
      <c r="AQ732">
        <v>0</v>
      </c>
      <c r="AR732">
        <f t="shared" si="1791"/>
        <v>0</v>
      </c>
      <c r="AS732">
        <f>IF(AND(IFERROR(VLOOKUP(AJ732,Equip!$A:$N,13,FALSE),0)&gt;=5,IFERROR(VLOOKUP(AJ732,Equip!$A:$N,13,FALSE),0)&lt;=9),INT(VLOOKUP(AJ732,Equip!$A:$N,6,FALSE)*SQRT(AN732)),0)</f>
        <v>0</v>
      </c>
      <c r="AT732">
        <f>IF(AND(IFERROR(VLOOKUP(AK732,Equip!$A:$N,13,FALSE),0)&gt;=5,IFERROR(VLOOKUP(AK732,Equip!$A:$N,13,FALSE),0)&lt;=9),INT(VLOOKUP(AK732,Equip!$A:$N,6,FALSE)*SQRT(AO732)),0)</f>
        <v>0</v>
      </c>
      <c r="AU732">
        <f>IF(AND(IFERROR(VLOOKUP(AL732,Equip!$A:$N,13,FALSE),0)&gt;=5,IFERROR(VLOOKUP(AL732,Equip!$A:$N,13,FALSE),0)&lt;=9),INT(VLOOKUP(AL732,Equip!$A:$N,6,FALSE)*SQRT(AP732)),0)</f>
        <v>0</v>
      </c>
      <c r="AV732">
        <f>IF(AND(IFERROR(VLOOKUP(AM732,Equip!$A:$N,13,FALSE),0)&gt;=5,IFERROR(VLOOKUP(AM732,Equip!$A:$N,13,FALSE),0)&lt;=9),INT(VLOOKUP(AM732,Equip!$A:$N,6,FALSE)*SQRT(AQ732)),0)</f>
        <v>0</v>
      </c>
      <c r="AW732">
        <f t="shared" si="1773"/>
        <v>0</v>
      </c>
      <c r="AX732">
        <f t="shared" si="1774"/>
        <v>226</v>
      </c>
    </row>
    <row r="733" spans="1:50">
      <c r="A733">
        <v>733</v>
      </c>
      <c r="B733" t="s">
        <v>746</v>
      </c>
      <c r="C733" t="s">
        <v>746</v>
      </c>
      <c r="D733">
        <v>0</v>
      </c>
      <c r="E733">
        <v>1284</v>
      </c>
      <c r="F733">
        <v>742</v>
      </c>
      <c r="G733">
        <v>12</v>
      </c>
      <c r="H733">
        <v>1</v>
      </c>
      <c r="I733">
        <v>1</v>
      </c>
      <c r="J733">
        <v>0</v>
      </c>
      <c r="K733">
        <v>1</v>
      </c>
      <c r="L733">
        <v>1</v>
      </c>
      <c r="M733">
        <v>14</v>
      </c>
      <c r="N733">
        <v>14</v>
      </c>
      <c r="O733">
        <v>9</v>
      </c>
      <c r="P733">
        <v>4</v>
      </c>
      <c r="Q733">
        <v>26</v>
      </c>
      <c r="R733">
        <v>39</v>
      </c>
      <c r="S733">
        <v>9</v>
      </c>
      <c r="T733">
        <v>19</v>
      </c>
      <c r="U733">
        <v>10</v>
      </c>
      <c r="V733">
        <v>4</v>
      </c>
      <c r="W733">
        <v>1</v>
      </c>
      <c r="X733">
        <v>10</v>
      </c>
      <c r="Y733">
        <v>0</v>
      </c>
      <c r="Z733">
        <v>15</v>
      </c>
      <c r="AA733">
        <v>10</v>
      </c>
      <c r="AB733">
        <v>26</v>
      </c>
      <c r="AC733">
        <v>66</v>
      </c>
      <c r="AD733">
        <v>36</v>
      </c>
      <c r="AE733">
        <v>16</v>
      </c>
      <c r="AF733">
        <v>46</v>
      </c>
      <c r="AG733">
        <v>76</v>
      </c>
      <c r="AH733">
        <v>46</v>
      </c>
      <c r="AI733">
        <v>16</v>
      </c>
      <c r="AJ733">
        <v>2</v>
      </c>
      <c r="AK733">
        <v>13</v>
      </c>
      <c r="AL733">
        <v>-1</v>
      </c>
      <c r="AM733">
        <v>-1</v>
      </c>
      <c r="AN733">
        <v>0</v>
      </c>
      <c r="AO733">
        <v>0</v>
      </c>
      <c r="AP733">
        <v>0</v>
      </c>
      <c r="AQ733">
        <v>0</v>
      </c>
      <c r="AR733">
        <f t="shared" si="1791"/>
        <v>0</v>
      </c>
      <c r="AS733">
        <f>IF(AND(IFERROR(VLOOKUP(AJ733,Equip!$A:$N,13,FALSE),0)&gt;=5,IFERROR(VLOOKUP(AJ733,Equip!$A:$N,13,FALSE),0)&lt;=9),INT(VLOOKUP(AJ733,Equip!$A:$N,6,FALSE)*SQRT(AN733)),0)</f>
        <v>0</v>
      </c>
      <c r="AT733">
        <f>IF(AND(IFERROR(VLOOKUP(AK733,Equip!$A:$N,13,FALSE),0)&gt;=5,IFERROR(VLOOKUP(AK733,Equip!$A:$N,13,FALSE),0)&lt;=9),INT(VLOOKUP(AK733,Equip!$A:$N,6,FALSE)*SQRT(AO733)),0)</f>
        <v>0</v>
      </c>
      <c r="AU733">
        <f>IF(AND(IFERROR(VLOOKUP(AL733,Equip!$A:$N,13,FALSE),0)&gt;=5,IFERROR(VLOOKUP(AL733,Equip!$A:$N,13,FALSE),0)&lt;=9),INT(VLOOKUP(AL733,Equip!$A:$N,6,FALSE)*SQRT(AP733)),0)</f>
        <v>0</v>
      </c>
      <c r="AV733">
        <f>IF(AND(IFERROR(VLOOKUP(AM733,Equip!$A:$N,13,FALSE),0)&gt;=5,IFERROR(VLOOKUP(AM733,Equip!$A:$N,13,FALSE),0)&lt;=9),INT(VLOOKUP(AM733,Equip!$A:$N,6,FALSE)*SQRT(AQ733)),0)</f>
        <v>0</v>
      </c>
      <c r="AW733">
        <f t="shared" si="1773"/>
        <v>0</v>
      </c>
      <c r="AX733">
        <f t="shared" si="1774"/>
        <v>296</v>
      </c>
    </row>
    <row r="734" spans="1:50">
      <c r="A734">
        <v>733</v>
      </c>
      <c r="B734" t="s">
        <v>746</v>
      </c>
      <c r="C734" t="s">
        <v>746</v>
      </c>
      <c r="D734">
        <v>1</v>
      </c>
      <c r="E734">
        <f>E733</f>
        <v>1284</v>
      </c>
      <c r="F734">
        <f t="shared" ref="F734" si="1865">F733</f>
        <v>742</v>
      </c>
      <c r="G734">
        <f t="shared" ref="G734" si="1866">G733</f>
        <v>12</v>
      </c>
      <c r="H734">
        <f t="shared" ref="H734" si="1867">H733</f>
        <v>1</v>
      </c>
      <c r="I734">
        <f t="shared" ref="I734" si="1868">I733</f>
        <v>1</v>
      </c>
      <c r="J734">
        <f t="shared" ref="J734" si="1869">J733</f>
        <v>0</v>
      </c>
      <c r="K734">
        <v>1</v>
      </c>
      <c r="L734">
        <v>1</v>
      </c>
      <c r="M734">
        <v>28</v>
      </c>
      <c r="N734">
        <v>28</v>
      </c>
      <c r="O734">
        <v>17</v>
      </c>
      <c r="P734">
        <v>15</v>
      </c>
      <c r="Q734">
        <v>36</v>
      </c>
      <c r="R734">
        <v>52</v>
      </c>
      <c r="S734">
        <v>20</v>
      </c>
      <c r="T734">
        <v>30</v>
      </c>
      <c r="U734">
        <f t="shared" ref="U734" si="1870">U733</f>
        <v>10</v>
      </c>
      <c r="V734">
        <v>12</v>
      </c>
      <c r="W734">
        <f t="shared" ref="W734" si="1871">W733</f>
        <v>1</v>
      </c>
      <c r="X734">
        <v>12</v>
      </c>
      <c r="Y734">
        <f t="shared" ref="Y734" si="1872">Y733</f>
        <v>0</v>
      </c>
      <c r="Z734">
        <v>15</v>
      </c>
      <c r="AA734">
        <v>20</v>
      </c>
      <c r="AB734">
        <v>46</v>
      </c>
      <c r="AC734">
        <v>76</v>
      </c>
      <c r="AD734">
        <v>46</v>
      </c>
      <c r="AE734">
        <v>46</v>
      </c>
      <c r="AF734">
        <v>46</v>
      </c>
      <c r="AG734">
        <v>86</v>
      </c>
      <c r="AH734">
        <v>56</v>
      </c>
      <c r="AI734">
        <v>36</v>
      </c>
      <c r="AJ734">
        <v>3</v>
      </c>
      <c r="AK734">
        <v>13</v>
      </c>
      <c r="AL734">
        <v>0</v>
      </c>
      <c r="AM734">
        <v>-1</v>
      </c>
      <c r="AN734">
        <v>0</v>
      </c>
      <c r="AO734">
        <v>0</v>
      </c>
      <c r="AP734">
        <v>0</v>
      </c>
      <c r="AQ734">
        <v>0</v>
      </c>
      <c r="AR734">
        <f t="shared" si="1791"/>
        <v>0</v>
      </c>
      <c r="AS734">
        <f>IF(AND(IFERROR(VLOOKUP(AJ734,Equip!$A:$N,13,FALSE),0)&gt;=5,IFERROR(VLOOKUP(AJ734,Equip!$A:$N,13,FALSE),0)&lt;=9),INT(VLOOKUP(AJ734,Equip!$A:$N,6,FALSE)*SQRT(AN734)),0)</f>
        <v>0</v>
      </c>
      <c r="AT734">
        <f>IF(AND(IFERROR(VLOOKUP(AK734,Equip!$A:$N,13,FALSE),0)&gt;=5,IFERROR(VLOOKUP(AK734,Equip!$A:$N,13,FALSE),0)&lt;=9),INT(VLOOKUP(AK734,Equip!$A:$N,6,FALSE)*SQRT(AO734)),0)</f>
        <v>0</v>
      </c>
      <c r="AU734">
        <f>IF(AND(IFERROR(VLOOKUP(AL734,Equip!$A:$N,13,FALSE),0)&gt;=5,IFERROR(VLOOKUP(AL734,Equip!$A:$N,13,FALSE),0)&lt;=9),INT(VLOOKUP(AL734,Equip!$A:$N,6,FALSE)*SQRT(AP734)),0)</f>
        <v>0</v>
      </c>
      <c r="AV734">
        <f>IF(AND(IFERROR(VLOOKUP(AM734,Equip!$A:$N,13,FALSE),0)&gt;=5,IFERROR(VLOOKUP(AM734,Equip!$A:$N,13,FALSE),0)&lt;=9),INT(VLOOKUP(AM734,Equip!$A:$N,6,FALSE)*SQRT(AQ734)),0)</f>
        <v>0</v>
      </c>
      <c r="AW734">
        <f t="shared" si="1773"/>
        <v>0</v>
      </c>
      <c r="AX734">
        <f t="shared" si="1774"/>
        <v>420</v>
      </c>
    </row>
    <row r="735" spans="1:50">
      <c r="A735">
        <v>734</v>
      </c>
      <c r="B735" t="s">
        <v>1058</v>
      </c>
      <c r="C735" t="s">
        <v>1058</v>
      </c>
      <c r="D735">
        <v>0</v>
      </c>
      <c r="E735">
        <v>1401</v>
      </c>
      <c r="F735">
        <v>809</v>
      </c>
      <c r="G735">
        <v>734</v>
      </c>
      <c r="H735">
        <v>0</v>
      </c>
      <c r="I735">
        <v>7</v>
      </c>
      <c r="J735">
        <v>5</v>
      </c>
      <c r="K735">
        <v>2</v>
      </c>
      <c r="L735">
        <v>2</v>
      </c>
      <c r="M735">
        <v>20</v>
      </c>
      <c r="N735">
        <v>20</v>
      </c>
      <c r="O735">
        <v>16</v>
      </c>
      <c r="P735">
        <v>13</v>
      </c>
      <c r="Q735">
        <v>16</v>
      </c>
      <c r="R735">
        <v>24</v>
      </c>
      <c r="S735">
        <v>16</v>
      </c>
      <c r="T735">
        <v>20</v>
      </c>
      <c r="U735">
        <v>5</v>
      </c>
      <c r="V735">
        <v>8</v>
      </c>
      <c r="W735">
        <v>2</v>
      </c>
      <c r="X735">
        <v>20</v>
      </c>
      <c r="Y735">
        <v>0</v>
      </c>
      <c r="Z735">
        <v>15</v>
      </c>
      <c r="AA735">
        <v>20</v>
      </c>
      <c r="AB735">
        <v>41</v>
      </c>
      <c r="AC735">
        <v>56</v>
      </c>
      <c r="AD735">
        <v>46</v>
      </c>
      <c r="AE735">
        <v>33</v>
      </c>
      <c r="AF735">
        <v>59</v>
      </c>
      <c r="AG735">
        <v>59</v>
      </c>
      <c r="AH735">
        <v>60</v>
      </c>
      <c r="AI735">
        <v>18</v>
      </c>
      <c r="AJ735">
        <v>119</v>
      </c>
      <c r="AK735">
        <v>802</v>
      </c>
      <c r="AL735">
        <v>-1</v>
      </c>
      <c r="AM735">
        <v>-1</v>
      </c>
      <c r="AN735">
        <v>1</v>
      </c>
      <c r="AO735">
        <v>1</v>
      </c>
      <c r="AP735">
        <v>0</v>
      </c>
      <c r="AQ735">
        <v>0</v>
      </c>
      <c r="AR735">
        <f t="shared" si="1791"/>
        <v>2</v>
      </c>
      <c r="AS735">
        <f>IF(AND(IFERROR(VLOOKUP(AJ735,Equip!$A:$N,13,FALSE),0)&gt;=5,IFERROR(VLOOKUP(AJ735,Equip!$A:$N,13,FALSE),0)&lt;=9),INT(VLOOKUP(AJ735,Equip!$A:$N,6,FALSE)*SQRT(AN735)),0)</f>
        <v>0</v>
      </c>
      <c r="AT735">
        <f>IF(AND(IFERROR(VLOOKUP(AK735,Equip!$A:$N,13,FALSE),0)&gt;=5,IFERROR(VLOOKUP(AK735,Equip!$A:$N,13,FALSE),0)&lt;=9),INT(VLOOKUP(AK735,Equip!$A:$N,6,FALSE)*SQRT(AO735)),0)</f>
        <v>0</v>
      </c>
      <c r="AU735">
        <f>IF(AND(IFERROR(VLOOKUP(AL735,Equip!$A:$N,13,FALSE),0)&gt;=5,IFERROR(VLOOKUP(AL735,Equip!$A:$N,13,FALSE),0)&lt;=9),INT(VLOOKUP(AL735,Equip!$A:$N,6,FALSE)*SQRT(AP735)),0)</f>
        <v>0</v>
      </c>
      <c r="AV735">
        <f>IF(AND(IFERROR(VLOOKUP(AM735,Equip!$A:$N,13,FALSE),0)&gt;=5,IFERROR(VLOOKUP(AM735,Equip!$A:$N,13,FALSE),0)&lt;=9),INT(VLOOKUP(AM735,Equip!$A:$N,6,FALSE)*SQRT(AQ735)),0)</f>
        <v>0</v>
      </c>
      <c r="AW735">
        <f t="shared" si="1773"/>
        <v>0</v>
      </c>
      <c r="AX735">
        <f t="shared" si="1774"/>
        <v>333</v>
      </c>
    </row>
    <row r="736" spans="1:50">
      <c r="A736">
        <v>734</v>
      </c>
      <c r="B736" t="s">
        <v>1058</v>
      </c>
      <c r="C736" t="s">
        <v>1058</v>
      </c>
      <c r="D736">
        <v>1</v>
      </c>
      <c r="E736">
        <f>E735</f>
        <v>1401</v>
      </c>
      <c r="F736">
        <f t="shared" ref="F736" si="1873">F735</f>
        <v>809</v>
      </c>
      <c r="G736">
        <f t="shared" ref="G736" si="1874">G735</f>
        <v>734</v>
      </c>
      <c r="H736">
        <f t="shared" ref="H736" si="1875">H735</f>
        <v>0</v>
      </c>
      <c r="I736">
        <f t="shared" ref="I736" si="1876">I735</f>
        <v>7</v>
      </c>
      <c r="J736">
        <f t="shared" ref="J736" si="1877">J735</f>
        <v>5</v>
      </c>
      <c r="K736">
        <v>6</v>
      </c>
      <c r="L736">
        <v>2</v>
      </c>
      <c r="M736">
        <v>35</v>
      </c>
      <c r="N736">
        <v>35</v>
      </c>
      <c r="O736">
        <v>18</v>
      </c>
      <c r="P736">
        <v>19</v>
      </c>
      <c r="Q736">
        <v>21</v>
      </c>
      <c r="R736">
        <v>32</v>
      </c>
      <c r="S736">
        <v>24</v>
      </c>
      <c r="T736">
        <v>20</v>
      </c>
      <c r="U736">
        <f t="shared" ref="U736" si="1878">U735</f>
        <v>5</v>
      </c>
      <c r="V736">
        <v>13</v>
      </c>
      <c r="W736">
        <f t="shared" ref="W736" si="1879">W735</f>
        <v>2</v>
      </c>
      <c r="X736">
        <v>25</v>
      </c>
      <c r="Y736">
        <f t="shared" ref="Y736" si="1880">Y735</f>
        <v>0</v>
      </c>
      <c r="Z736">
        <v>15</v>
      </c>
      <c r="AA736">
        <v>20</v>
      </c>
      <c r="AB736">
        <v>48</v>
      </c>
      <c r="AC736">
        <v>66</v>
      </c>
      <c r="AD736">
        <v>54</v>
      </c>
      <c r="AE736">
        <v>39</v>
      </c>
      <c r="AF736">
        <v>74</v>
      </c>
      <c r="AG736">
        <v>68</v>
      </c>
      <c r="AH736">
        <v>70</v>
      </c>
      <c r="AI736">
        <v>33</v>
      </c>
      <c r="AJ736">
        <v>91</v>
      </c>
      <c r="AK736">
        <v>40</v>
      </c>
      <c r="AL736">
        <v>31</v>
      </c>
      <c r="AM736">
        <v>-1</v>
      </c>
      <c r="AN736">
        <v>1</v>
      </c>
      <c r="AO736">
        <v>1</v>
      </c>
      <c r="AP736">
        <v>1</v>
      </c>
      <c r="AQ736">
        <v>0</v>
      </c>
      <c r="AR736">
        <f t="shared" si="1791"/>
        <v>3</v>
      </c>
      <c r="AS736">
        <f>IF(AND(IFERROR(VLOOKUP(AJ736,Equip!$A:$N,13,FALSE),0)&gt;=5,IFERROR(VLOOKUP(AJ736,Equip!$A:$N,13,FALSE),0)&lt;=9),INT(VLOOKUP(AJ736,Equip!$A:$N,6,FALSE)*SQRT(AN736)),0)</f>
        <v>0</v>
      </c>
      <c r="AT736">
        <f>IF(AND(IFERROR(VLOOKUP(AK736,Equip!$A:$N,13,FALSE),0)&gt;=5,IFERROR(VLOOKUP(AK736,Equip!$A:$N,13,FALSE),0)&lt;=9),INT(VLOOKUP(AK736,Equip!$A:$N,6,FALSE)*SQRT(AO736)),0)</f>
        <v>0</v>
      </c>
      <c r="AU736">
        <f>IF(AND(IFERROR(VLOOKUP(AL736,Equip!$A:$N,13,FALSE),0)&gt;=5,IFERROR(VLOOKUP(AL736,Equip!$A:$N,13,FALSE),0)&lt;=9),INT(VLOOKUP(AL736,Equip!$A:$N,6,FALSE)*SQRT(AP736)),0)</f>
        <v>0</v>
      </c>
      <c r="AV736">
        <f>IF(AND(IFERROR(VLOOKUP(AM736,Equip!$A:$N,13,FALSE),0)&gt;=5,IFERROR(VLOOKUP(AM736,Equip!$A:$N,13,FALSE),0)&lt;=9),INT(VLOOKUP(AM736,Equip!$A:$N,6,FALSE)*SQRT(AQ736)),0)</f>
        <v>0</v>
      </c>
      <c r="AW736">
        <f t="shared" si="1773"/>
        <v>0</v>
      </c>
      <c r="AX736">
        <f t="shared" si="1774"/>
        <v>413</v>
      </c>
    </row>
    <row r="737" spans="1:50">
      <c r="A737">
        <v>735</v>
      </c>
      <c r="B737" t="s">
        <v>1059</v>
      </c>
      <c r="C737" t="s">
        <v>1059</v>
      </c>
      <c r="D737">
        <v>0</v>
      </c>
      <c r="E737">
        <v>1399</v>
      </c>
      <c r="F737">
        <v>806</v>
      </c>
      <c r="G737">
        <v>735</v>
      </c>
      <c r="H737">
        <v>0</v>
      </c>
      <c r="I737">
        <v>7</v>
      </c>
      <c r="J737">
        <v>4</v>
      </c>
      <c r="K737">
        <v>2</v>
      </c>
      <c r="L737">
        <v>2</v>
      </c>
      <c r="M737">
        <v>20</v>
      </c>
      <c r="N737">
        <v>20</v>
      </c>
      <c r="O737">
        <v>16</v>
      </c>
      <c r="P737">
        <v>13</v>
      </c>
      <c r="Q737">
        <v>16</v>
      </c>
      <c r="R737">
        <v>22</v>
      </c>
      <c r="S737">
        <v>12</v>
      </c>
      <c r="T737">
        <v>20</v>
      </c>
      <c r="U737">
        <v>5</v>
      </c>
      <c r="V737">
        <v>8</v>
      </c>
      <c r="W737">
        <v>2</v>
      </c>
      <c r="X737">
        <v>20</v>
      </c>
      <c r="Y737">
        <v>0</v>
      </c>
      <c r="Z737">
        <v>15</v>
      </c>
      <c r="AA737">
        <v>20</v>
      </c>
      <c r="AB737">
        <v>41</v>
      </c>
      <c r="AC737">
        <v>56</v>
      </c>
      <c r="AD737">
        <v>42</v>
      </c>
      <c r="AE737">
        <v>33</v>
      </c>
      <c r="AF737">
        <v>59</v>
      </c>
      <c r="AG737">
        <v>57</v>
      </c>
      <c r="AH737">
        <v>60</v>
      </c>
      <c r="AI737">
        <v>18</v>
      </c>
      <c r="AJ737">
        <v>119</v>
      </c>
      <c r="AK737">
        <v>706</v>
      </c>
      <c r="AL737">
        <v>-1</v>
      </c>
      <c r="AM737">
        <v>-1</v>
      </c>
      <c r="AN737">
        <v>0</v>
      </c>
      <c r="AO737">
        <v>0</v>
      </c>
      <c r="AP737">
        <v>0</v>
      </c>
      <c r="AQ737">
        <v>0</v>
      </c>
      <c r="AR737">
        <f t="shared" si="1791"/>
        <v>0</v>
      </c>
      <c r="AS737">
        <f>IF(AND(IFERROR(VLOOKUP(AJ737,Equip!$A:$N,13,FALSE),0)&gt;=5,IFERROR(VLOOKUP(AJ737,Equip!$A:$N,13,FALSE),0)&lt;=9),INT(VLOOKUP(AJ737,Equip!$A:$N,6,FALSE)*SQRT(AN737)),0)</f>
        <v>0</v>
      </c>
      <c r="AT737">
        <f>IF(AND(IFERROR(VLOOKUP(AK737,Equip!$A:$N,13,FALSE),0)&gt;=5,IFERROR(VLOOKUP(AK737,Equip!$A:$N,13,FALSE),0)&lt;=9),INT(VLOOKUP(AK737,Equip!$A:$N,6,FALSE)*SQRT(AO737)),0)</f>
        <v>0</v>
      </c>
      <c r="AU737">
        <f>IF(AND(IFERROR(VLOOKUP(AL737,Equip!$A:$N,13,FALSE),0)&gt;=5,IFERROR(VLOOKUP(AL737,Equip!$A:$N,13,FALSE),0)&lt;=9),INT(VLOOKUP(AL737,Equip!$A:$N,6,FALSE)*SQRT(AP737)),0)</f>
        <v>0</v>
      </c>
      <c r="AV737">
        <f>IF(AND(IFERROR(VLOOKUP(AM737,Equip!$A:$N,13,FALSE),0)&gt;=5,IFERROR(VLOOKUP(AM737,Equip!$A:$N,13,FALSE),0)&lt;=9),INT(VLOOKUP(AM737,Equip!$A:$N,6,FALSE)*SQRT(AQ737)),0)</f>
        <v>0</v>
      </c>
      <c r="AW737">
        <f t="shared" si="1773"/>
        <v>0</v>
      </c>
      <c r="AX737">
        <f t="shared" si="1774"/>
        <v>327</v>
      </c>
    </row>
    <row r="738" spans="1:50">
      <c r="A738">
        <v>735</v>
      </c>
      <c r="B738" t="s">
        <v>1059</v>
      </c>
      <c r="C738" t="s">
        <v>1059</v>
      </c>
      <c r="D738">
        <v>1</v>
      </c>
      <c r="E738">
        <f>E737</f>
        <v>1399</v>
      </c>
      <c r="F738">
        <f t="shared" ref="F738" si="1881">F737</f>
        <v>806</v>
      </c>
      <c r="G738">
        <f t="shared" ref="G738" si="1882">G737</f>
        <v>735</v>
      </c>
      <c r="H738">
        <f t="shared" ref="H738" si="1883">H737</f>
        <v>0</v>
      </c>
      <c r="I738">
        <f t="shared" ref="I738" si="1884">I737</f>
        <v>7</v>
      </c>
      <c r="J738">
        <f t="shared" ref="J738" si="1885">J737</f>
        <v>4</v>
      </c>
      <c r="K738">
        <v>6</v>
      </c>
      <c r="L738">
        <v>2</v>
      </c>
      <c r="M738">
        <v>35</v>
      </c>
      <c r="N738">
        <v>35</v>
      </c>
      <c r="O738">
        <v>18</v>
      </c>
      <c r="P738">
        <v>19</v>
      </c>
      <c r="Q738">
        <v>21</v>
      </c>
      <c r="R738">
        <v>30</v>
      </c>
      <c r="S738">
        <v>10</v>
      </c>
      <c r="T738">
        <v>20</v>
      </c>
      <c r="U738">
        <f t="shared" ref="U738" si="1886">U737</f>
        <v>5</v>
      </c>
      <c r="V738">
        <v>13</v>
      </c>
      <c r="W738">
        <f t="shared" ref="W738" si="1887">W737</f>
        <v>2</v>
      </c>
      <c r="X738">
        <v>25</v>
      </c>
      <c r="Y738">
        <v>7</v>
      </c>
      <c r="Z738">
        <v>15</v>
      </c>
      <c r="AA738">
        <v>20</v>
      </c>
      <c r="AB738">
        <v>48</v>
      </c>
      <c r="AC738">
        <v>66</v>
      </c>
      <c r="AD738">
        <v>40</v>
      </c>
      <c r="AE738">
        <v>39</v>
      </c>
      <c r="AF738">
        <v>74</v>
      </c>
      <c r="AG738">
        <v>66</v>
      </c>
      <c r="AH738">
        <v>70</v>
      </c>
      <c r="AI738">
        <v>33</v>
      </c>
      <c r="AJ738">
        <v>91</v>
      </c>
      <c r="AK738">
        <v>40</v>
      </c>
      <c r="AL738">
        <v>31</v>
      </c>
      <c r="AM738">
        <v>-1</v>
      </c>
      <c r="AN738">
        <v>0</v>
      </c>
      <c r="AO738">
        <v>0</v>
      </c>
      <c r="AP738">
        <v>0</v>
      </c>
      <c r="AQ738">
        <v>0</v>
      </c>
      <c r="AR738">
        <f t="shared" si="1791"/>
        <v>0</v>
      </c>
      <c r="AS738">
        <f>IF(AND(IFERROR(VLOOKUP(AJ738,Equip!$A:$N,13,FALSE),0)&gt;=5,IFERROR(VLOOKUP(AJ738,Equip!$A:$N,13,FALSE),0)&lt;=9),INT(VLOOKUP(AJ738,Equip!$A:$N,6,FALSE)*SQRT(AN738)),0)</f>
        <v>0</v>
      </c>
      <c r="AT738">
        <f>IF(AND(IFERROR(VLOOKUP(AK738,Equip!$A:$N,13,FALSE),0)&gt;=5,IFERROR(VLOOKUP(AK738,Equip!$A:$N,13,FALSE),0)&lt;=9),INT(VLOOKUP(AK738,Equip!$A:$N,6,FALSE)*SQRT(AO738)),0)</f>
        <v>0</v>
      </c>
      <c r="AU738">
        <f>IF(AND(IFERROR(VLOOKUP(AL738,Equip!$A:$N,13,FALSE),0)&gt;=5,IFERROR(VLOOKUP(AL738,Equip!$A:$N,13,FALSE),0)&lt;=9),INT(VLOOKUP(AL738,Equip!$A:$N,6,FALSE)*SQRT(AP738)),0)</f>
        <v>0</v>
      </c>
      <c r="AV738">
        <f>IF(AND(IFERROR(VLOOKUP(AM738,Equip!$A:$N,13,FALSE),0)&gt;=5,IFERROR(VLOOKUP(AM738,Equip!$A:$N,13,FALSE),0)&lt;=9),INT(VLOOKUP(AM738,Equip!$A:$N,6,FALSE)*SQRT(AQ738)),0)</f>
        <v>0</v>
      </c>
      <c r="AW738">
        <f t="shared" si="1773"/>
        <v>0</v>
      </c>
      <c r="AX738">
        <f t="shared" si="1774"/>
        <v>397</v>
      </c>
    </row>
    <row r="739" spans="1:50">
      <c r="A739">
        <v>736</v>
      </c>
      <c r="B739" t="s">
        <v>1060</v>
      </c>
      <c r="C739" t="s">
        <v>1061</v>
      </c>
      <c r="D739">
        <v>0</v>
      </c>
      <c r="E739">
        <v>2412</v>
      </c>
      <c r="F739">
        <v>1314</v>
      </c>
      <c r="G739">
        <v>736</v>
      </c>
      <c r="H739">
        <v>2</v>
      </c>
      <c r="I739">
        <v>5</v>
      </c>
      <c r="J739">
        <v>11</v>
      </c>
      <c r="K739">
        <v>8</v>
      </c>
      <c r="L739">
        <v>7</v>
      </c>
      <c r="M739">
        <v>68</v>
      </c>
      <c r="N739">
        <v>68</v>
      </c>
      <c r="O739">
        <v>63</v>
      </c>
      <c r="P739">
        <v>63</v>
      </c>
      <c r="Q739">
        <v>0</v>
      </c>
      <c r="R739">
        <v>36</v>
      </c>
      <c r="S739">
        <v>33</v>
      </c>
      <c r="T739">
        <v>0</v>
      </c>
      <c r="U739">
        <v>10</v>
      </c>
      <c r="V739">
        <v>17</v>
      </c>
      <c r="W739">
        <v>3</v>
      </c>
      <c r="X739">
        <v>10</v>
      </c>
      <c r="Y739">
        <v>0</v>
      </c>
      <c r="Z739">
        <v>85</v>
      </c>
      <c r="AA739">
        <v>110</v>
      </c>
      <c r="AB739">
        <v>88</v>
      </c>
      <c r="AC739">
        <v>0</v>
      </c>
      <c r="AD739">
        <v>83</v>
      </c>
      <c r="AE739">
        <v>77</v>
      </c>
      <c r="AF739">
        <v>49</v>
      </c>
      <c r="AG739">
        <v>69</v>
      </c>
      <c r="AH739">
        <v>0</v>
      </c>
      <c r="AI739">
        <v>51</v>
      </c>
      <c r="AJ739">
        <v>190</v>
      </c>
      <c r="AK739">
        <v>775</v>
      </c>
      <c r="AL739">
        <v>0</v>
      </c>
      <c r="AM739">
        <v>-1</v>
      </c>
      <c r="AN739">
        <v>4</v>
      </c>
      <c r="AO739">
        <v>4</v>
      </c>
      <c r="AP739">
        <v>4</v>
      </c>
      <c r="AQ739">
        <v>0</v>
      </c>
      <c r="AR739">
        <f t="shared" si="1791"/>
        <v>12</v>
      </c>
      <c r="AS739">
        <f>IF(AND(IFERROR(VLOOKUP(AJ739,Equip!$A:$N,13,FALSE),0)&gt;=5,IFERROR(VLOOKUP(AJ739,Equip!$A:$N,13,FALSE),0)&lt;=9),INT(VLOOKUP(AJ739,Equip!$A:$N,6,FALSE)*SQRT(AN739)),0)</f>
        <v>0</v>
      </c>
      <c r="AT739">
        <f>IF(AND(IFERROR(VLOOKUP(AK739,Equip!$A:$N,13,FALSE),0)&gt;=5,IFERROR(VLOOKUP(AK739,Equip!$A:$N,13,FALSE),0)&lt;=9),INT(VLOOKUP(AK739,Equip!$A:$N,6,FALSE)*SQRT(AO739)),0)</f>
        <v>0</v>
      </c>
      <c r="AU739">
        <f>IF(AND(IFERROR(VLOOKUP(AL739,Equip!$A:$N,13,FALSE),0)&gt;=5,IFERROR(VLOOKUP(AL739,Equip!$A:$N,13,FALSE),0)&lt;=9),INT(VLOOKUP(AL739,Equip!$A:$N,6,FALSE)*SQRT(AP739)),0)</f>
        <v>0</v>
      </c>
      <c r="AV739">
        <f>IF(AND(IFERROR(VLOOKUP(AM739,Equip!$A:$N,13,FALSE),0)&gt;=5,IFERROR(VLOOKUP(AM739,Equip!$A:$N,13,FALSE),0)&lt;=9),INT(VLOOKUP(AM739,Equip!$A:$N,6,FALSE)*SQRT(AQ739)),0)</f>
        <v>0</v>
      </c>
      <c r="AW739">
        <f t="shared" si="1773"/>
        <v>0</v>
      </c>
      <c r="AX739">
        <f t="shared" si="1774"/>
        <v>436</v>
      </c>
    </row>
    <row r="740" spans="1:50">
      <c r="A740">
        <v>736</v>
      </c>
      <c r="B740" t="s">
        <v>1060</v>
      </c>
      <c r="C740" t="s">
        <v>1061</v>
      </c>
      <c r="D740">
        <v>1</v>
      </c>
      <c r="E740">
        <f t="shared" ref="E740:E741" si="1888">E739</f>
        <v>2412</v>
      </c>
      <c r="F740">
        <f t="shared" ref="F740:F741" si="1889">F739</f>
        <v>1314</v>
      </c>
      <c r="G740">
        <f t="shared" ref="G740:G741" si="1890">G739</f>
        <v>736</v>
      </c>
      <c r="H740">
        <f t="shared" ref="H740:H741" si="1891">H739</f>
        <v>2</v>
      </c>
      <c r="I740">
        <f t="shared" ref="I740:I741" si="1892">I739</f>
        <v>5</v>
      </c>
      <c r="J740">
        <f t="shared" ref="J740:J741" si="1893">J739</f>
        <v>11</v>
      </c>
      <c r="K740">
        <v>8</v>
      </c>
      <c r="L740">
        <v>7</v>
      </c>
      <c r="M740">
        <v>73</v>
      </c>
      <c r="N740">
        <v>73</v>
      </c>
      <c r="O740">
        <v>66</v>
      </c>
      <c r="P740">
        <v>69</v>
      </c>
      <c r="Q740">
        <v>0</v>
      </c>
      <c r="R740">
        <v>60</v>
      </c>
      <c r="S740">
        <v>37</v>
      </c>
      <c r="T740">
        <v>0</v>
      </c>
      <c r="U740">
        <f t="shared" ref="U740:U741" si="1894">U739</f>
        <v>10</v>
      </c>
      <c r="V740">
        <v>22</v>
      </c>
      <c r="W740">
        <f t="shared" ref="W740:W741" si="1895">W739</f>
        <v>3</v>
      </c>
      <c r="X740">
        <v>12</v>
      </c>
      <c r="Y740">
        <f t="shared" ref="Y740:Y741" si="1896">Y739</f>
        <v>0</v>
      </c>
      <c r="Z740">
        <v>95</v>
      </c>
      <c r="AA740">
        <v>120</v>
      </c>
      <c r="AB740">
        <v>94</v>
      </c>
      <c r="AC740">
        <v>0</v>
      </c>
      <c r="AD740">
        <v>91</v>
      </c>
      <c r="AE740">
        <v>83</v>
      </c>
      <c r="AF740">
        <v>59</v>
      </c>
      <c r="AG740">
        <v>75</v>
      </c>
      <c r="AH740">
        <v>0</v>
      </c>
      <c r="AI740">
        <v>56</v>
      </c>
      <c r="AJ740">
        <v>192</v>
      </c>
      <c r="AK740">
        <v>191</v>
      </c>
      <c r="AL740">
        <v>0</v>
      </c>
      <c r="AM740">
        <v>0</v>
      </c>
      <c r="AN740">
        <v>4</v>
      </c>
      <c r="AO740">
        <v>4</v>
      </c>
      <c r="AP740">
        <v>4</v>
      </c>
      <c r="AQ740">
        <v>4</v>
      </c>
      <c r="AR740">
        <f t="shared" si="1791"/>
        <v>16</v>
      </c>
      <c r="AS740">
        <f>IF(AND(IFERROR(VLOOKUP(AJ740,Equip!$A:$N,13,FALSE),0)&gt;=5,IFERROR(VLOOKUP(AJ740,Equip!$A:$N,13,FALSE),0)&lt;=9),INT(VLOOKUP(AJ740,Equip!$A:$N,6,FALSE)*SQRT(AN740)),0)</f>
        <v>0</v>
      </c>
      <c r="AT740">
        <f>IF(AND(IFERROR(VLOOKUP(AK740,Equip!$A:$N,13,FALSE),0)&gt;=5,IFERROR(VLOOKUP(AK740,Equip!$A:$N,13,FALSE),0)&lt;=9),INT(VLOOKUP(AK740,Equip!$A:$N,6,FALSE)*SQRT(AO740)),0)</f>
        <v>0</v>
      </c>
      <c r="AU740">
        <f>IF(AND(IFERROR(VLOOKUP(AL740,Equip!$A:$N,13,FALSE),0)&gt;=5,IFERROR(VLOOKUP(AL740,Equip!$A:$N,13,FALSE),0)&lt;=9),INT(VLOOKUP(AL740,Equip!$A:$N,6,FALSE)*SQRT(AP740)),0)</f>
        <v>0</v>
      </c>
      <c r="AV740">
        <f>IF(AND(IFERROR(VLOOKUP(AM740,Equip!$A:$N,13,FALSE),0)&gt;=5,IFERROR(VLOOKUP(AM740,Equip!$A:$N,13,FALSE),0)&lt;=9),INT(VLOOKUP(AM740,Equip!$A:$N,6,FALSE)*SQRT(AQ740)),0)</f>
        <v>0</v>
      </c>
      <c r="AW740">
        <f t="shared" si="1773"/>
        <v>0</v>
      </c>
      <c r="AX740">
        <f t="shared" si="1774"/>
        <v>472</v>
      </c>
    </row>
    <row r="741" spans="1:50">
      <c r="A741">
        <v>736</v>
      </c>
      <c r="B741" t="s">
        <v>1060</v>
      </c>
      <c r="C741" t="s">
        <v>1061</v>
      </c>
      <c r="D741">
        <v>2</v>
      </c>
      <c r="E741">
        <f t="shared" si="1888"/>
        <v>2412</v>
      </c>
      <c r="F741">
        <f t="shared" si="1889"/>
        <v>1314</v>
      </c>
      <c r="G741">
        <f t="shared" si="1890"/>
        <v>736</v>
      </c>
      <c r="H741">
        <f t="shared" si="1891"/>
        <v>2</v>
      </c>
      <c r="I741">
        <f t="shared" si="1892"/>
        <v>5</v>
      </c>
      <c r="J741">
        <f t="shared" si="1893"/>
        <v>11</v>
      </c>
      <c r="K741">
        <v>8</v>
      </c>
      <c r="L741">
        <v>7</v>
      </c>
      <c r="M741">
        <v>81</v>
      </c>
      <c r="N741">
        <v>81</v>
      </c>
      <c r="O741">
        <v>74</v>
      </c>
      <c r="P741">
        <v>77</v>
      </c>
      <c r="Q741">
        <v>0</v>
      </c>
      <c r="R741">
        <v>68</v>
      </c>
      <c r="S741">
        <v>45</v>
      </c>
      <c r="T741">
        <v>0</v>
      </c>
      <c r="U741">
        <f t="shared" si="1894"/>
        <v>10</v>
      </c>
      <c r="V741">
        <v>22</v>
      </c>
      <c r="W741">
        <f t="shared" si="1895"/>
        <v>3</v>
      </c>
      <c r="X741">
        <v>13</v>
      </c>
      <c r="Y741">
        <f t="shared" si="1896"/>
        <v>0</v>
      </c>
      <c r="Z741">
        <v>110</v>
      </c>
      <c r="AA741">
        <v>130</v>
      </c>
      <c r="AB741">
        <v>102</v>
      </c>
      <c r="AC741">
        <v>0</v>
      </c>
      <c r="AD741">
        <v>99</v>
      </c>
      <c r="AE741">
        <v>91</v>
      </c>
      <c r="AF741">
        <v>69</v>
      </c>
      <c r="AG741">
        <v>83</v>
      </c>
      <c r="AH741">
        <v>0</v>
      </c>
      <c r="AI741">
        <v>56</v>
      </c>
      <c r="AJ741">
        <v>0</v>
      </c>
      <c r="AK741">
        <v>0</v>
      </c>
      <c r="AL741">
        <v>0</v>
      </c>
      <c r="AM741">
        <v>0</v>
      </c>
      <c r="AN741">
        <v>4</v>
      </c>
      <c r="AO741">
        <v>4</v>
      </c>
      <c r="AP741">
        <v>4</v>
      </c>
      <c r="AQ741">
        <v>4</v>
      </c>
      <c r="AR741">
        <f t="shared" si="1791"/>
        <v>16</v>
      </c>
      <c r="AS741">
        <f>IF(AND(IFERROR(VLOOKUP(AJ741,Equip!$A:$N,13,FALSE),0)&gt;=5,IFERROR(VLOOKUP(AJ741,Equip!$A:$N,13,FALSE),0)&lt;=9),INT(VLOOKUP(AJ741,Equip!$A:$N,6,FALSE)*SQRT(AN741)),0)</f>
        <v>0</v>
      </c>
      <c r="AT741">
        <f>IF(AND(IFERROR(VLOOKUP(AK741,Equip!$A:$N,13,FALSE),0)&gt;=5,IFERROR(VLOOKUP(AK741,Equip!$A:$N,13,FALSE),0)&lt;=9),INT(VLOOKUP(AK741,Equip!$A:$N,6,FALSE)*SQRT(AO741)),0)</f>
        <v>0</v>
      </c>
      <c r="AU741">
        <f>IF(AND(IFERROR(VLOOKUP(AL741,Equip!$A:$N,13,FALSE),0)&gt;=5,IFERROR(VLOOKUP(AL741,Equip!$A:$N,13,FALSE),0)&lt;=9),INT(VLOOKUP(AL741,Equip!$A:$N,6,FALSE)*SQRT(AP741)),0)</f>
        <v>0</v>
      </c>
      <c r="AV741">
        <f>IF(AND(IFERROR(VLOOKUP(AM741,Equip!$A:$N,13,FALSE),0)&gt;=5,IFERROR(VLOOKUP(AM741,Equip!$A:$N,13,FALSE),0)&lt;=9),INT(VLOOKUP(AM741,Equip!$A:$N,6,FALSE)*SQRT(AQ741)),0)</f>
        <v>0</v>
      </c>
      <c r="AW741">
        <f t="shared" si="1773"/>
        <v>0</v>
      </c>
      <c r="AX741">
        <f t="shared" si="1774"/>
        <v>512</v>
      </c>
    </row>
    <row r="742" spans="1:50">
      <c r="A742">
        <v>737</v>
      </c>
      <c r="B742" t="s">
        <v>1062</v>
      </c>
      <c r="C742" t="s">
        <v>1063</v>
      </c>
      <c r="D742">
        <v>0</v>
      </c>
      <c r="E742">
        <v>1392</v>
      </c>
      <c r="F742">
        <v>798</v>
      </c>
      <c r="G742">
        <v>737</v>
      </c>
      <c r="H742">
        <v>0</v>
      </c>
      <c r="I742">
        <v>2</v>
      </c>
      <c r="J742">
        <v>3</v>
      </c>
      <c r="K742">
        <v>1</v>
      </c>
      <c r="L742">
        <v>1</v>
      </c>
      <c r="M742">
        <v>19</v>
      </c>
      <c r="N742">
        <v>19</v>
      </c>
      <c r="O742">
        <v>8</v>
      </c>
      <c r="P742">
        <v>8</v>
      </c>
      <c r="Q742">
        <v>24</v>
      </c>
      <c r="R742">
        <v>37</v>
      </c>
      <c r="S742">
        <v>12</v>
      </c>
      <c r="T742">
        <v>32</v>
      </c>
      <c r="U742">
        <v>10</v>
      </c>
      <c r="V742">
        <v>6</v>
      </c>
      <c r="W742">
        <v>1</v>
      </c>
      <c r="X742">
        <v>10</v>
      </c>
      <c r="Y742">
        <v>0</v>
      </c>
      <c r="Z742">
        <v>20</v>
      </c>
      <c r="AA742">
        <v>20</v>
      </c>
      <c r="AB742">
        <v>26</v>
      </c>
      <c r="AC742">
        <v>60</v>
      </c>
      <c r="AD742">
        <v>42</v>
      </c>
      <c r="AE742">
        <v>22</v>
      </c>
      <c r="AF742">
        <v>49</v>
      </c>
      <c r="AG742">
        <v>77</v>
      </c>
      <c r="AH742">
        <v>64</v>
      </c>
      <c r="AI742">
        <v>24</v>
      </c>
      <c r="AJ742">
        <v>78</v>
      </c>
      <c r="AK742">
        <v>0</v>
      </c>
      <c r="AL742">
        <v>0</v>
      </c>
      <c r="AM742">
        <v>-1</v>
      </c>
      <c r="AN742">
        <v>0</v>
      </c>
      <c r="AO742">
        <v>0</v>
      </c>
      <c r="AP742">
        <v>0</v>
      </c>
      <c r="AQ742">
        <v>0</v>
      </c>
      <c r="AR742">
        <f t="shared" si="1791"/>
        <v>0</v>
      </c>
      <c r="AS742">
        <f>IF(AND(IFERROR(VLOOKUP(AJ742,Equip!$A:$N,13,FALSE),0)&gt;=5,IFERROR(VLOOKUP(AJ742,Equip!$A:$N,13,FALSE),0)&lt;=9),INT(VLOOKUP(AJ742,Equip!$A:$N,6,FALSE)*SQRT(AN742)),0)</f>
        <v>0</v>
      </c>
      <c r="AT742">
        <f>IF(AND(IFERROR(VLOOKUP(AK742,Equip!$A:$N,13,FALSE),0)&gt;=5,IFERROR(VLOOKUP(AK742,Equip!$A:$N,13,FALSE),0)&lt;=9),INT(VLOOKUP(AK742,Equip!$A:$N,6,FALSE)*SQRT(AO742)),0)</f>
        <v>0</v>
      </c>
      <c r="AU742">
        <f>IF(AND(IFERROR(VLOOKUP(AL742,Equip!$A:$N,13,FALSE),0)&gt;=5,IFERROR(VLOOKUP(AL742,Equip!$A:$N,13,FALSE),0)&lt;=9),INT(VLOOKUP(AL742,Equip!$A:$N,6,FALSE)*SQRT(AP742)),0)</f>
        <v>0</v>
      </c>
      <c r="AV742">
        <f>IF(AND(IFERROR(VLOOKUP(AM742,Equip!$A:$N,13,FALSE),0)&gt;=5,IFERROR(VLOOKUP(AM742,Equip!$A:$N,13,FALSE),0)&lt;=9),INT(VLOOKUP(AM742,Equip!$A:$N,6,FALSE)*SQRT(AQ742)),0)</f>
        <v>0</v>
      </c>
      <c r="AW742">
        <f t="shared" si="1773"/>
        <v>0</v>
      </c>
      <c r="AX742">
        <f t="shared" si="1774"/>
        <v>334</v>
      </c>
    </row>
    <row r="743" spans="1:50">
      <c r="A743">
        <v>737</v>
      </c>
      <c r="B743" t="s">
        <v>1062</v>
      </c>
      <c r="C743" t="s">
        <v>1063</v>
      </c>
      <c r="D743">
        <v>1</v>
      </c>
      <c r="E743">
        <f t="shared" ref="E743:E744" si="1897">E742</f>
        <v>1392</v>
      </c>
      <c r="F743">
        <f t="shared" ref="F743:F744" si="1898">F742</f>
        <v>798</v>
      </c>
      <c r="G743">
        <f t="shared" ref="G743:G744" si="1899">G742</f>
        <v>737</v>
      </c>
      <c r="H743">
        <f t="shared" ref="H743:H744" si="1900">H742</f>
        <v>0</v>
      </c>
      <c r="I743">
        <f t="shared" ref="I743:I744" si="1901">I742</f>
        <v>2</v>
      </c>
      <c r="J743">
        <f t="shared" ref="J743:J744" si="1902">J742</f>
        <v>3</v>
      </c>
      <c r="K743">
        <v>1</v>
      </c>
      <c r="L743">
        <v>1</v>
      </c>
      <c r="M743">
        <v>34</v>
      </c>
      <c r="N743">
        <v>34</v>
      </c>
      <c r="O743">
        <v>16</v>
      </c>
      <c r="P743">
        <v>19</v>
      </c>
      <c r="Q743">
        <v>31</v>
      </c>
      <c r="R743">
        <v>53</v>
      </c>
      <c r="S743">
        <v>21</v>
      </c>
      <c r="T743">
        <v>46</v>
      </c>
      <c r="U743">
        <f t="shared" ref="U743:U744" si="1903">U742</f>
        <v>10</v>
      </c>
      <c r="V743">
        <v>16</v>
      </c>
      <c r="W743">
        <f t="shared" ref="W743:W744" si="1904">W742</f>
        <v>1</v>
      </c>
      <c r="X743">
        <v>12</v>
      </c>
      <c r="Y743">
        <f t="shared" ref="Y743:Y744" si="1905">Y742</f>
        <v>0</v>
      </c>
      <c r="Z743">
        <v>20</v>
      </c>
      <c r="AA743">
        <v>25</v>
      </c>
      <c r="AB743">
        <v>45</v>
      </c>
      <c r="AC743">
        <v>70</v>
      </c>
      <c r="AD743">
        <v>47</v>
      </c>
      <c r="AE743">
        <v>45</v>
      </c>
      <c r="AF743">
        <v>49</v>
      </c>
      <c r="AG743">
        <v>80</v>
      </c>
      <c r="AH743">
        <v>69</v>
      </c>
      <c r="AI743">
        <v>40</v>
      </c>
      <c r="AJ743">
        <v>720</v>
      </c>
      <c r="AK743">
        <v>779</v>
      </c>
      <c r="AL743">
        <v>0</v>
      </c>
      <c r="AM743">
        <v>-1</v>
      </c>
      <c r="AN743">
        <v>0</v>
      </c>
      <c r="AO743">
        <v>0</v>
      </c>
      <c r="AP743">
        <v>0</v>
      </c>
      <c r="AQ743">
        <v>0</v>
      </c>
      <c r="AR743">
        <f t="shared" si="1791"/>
        <v>0</v>
      </c>
      <c r="AS743">
        <f>IF(AND(IFERROR(VLOOKUP(AJ743,Equip!$A:$N,13,FALSE),0)&gt;=5,IFERROR(VLOOKUP(AJ743,Equip!$A:$N,13,FALSE),0)&lt;=9),INT(VLOOKUP(AJ743,Equip!$A:$N,6,FALSE)*SQRT(AN743)),0)</f>
        <v>0</v>
      </c>
      <c r="AT743">
        <f>IF(AND(IFERROR(VLOOKUP(AK743,Equip!$A:$N,13,FALSE),0)&gt;=5,IFERROR(VLOOKUP(AK743,Equip!$A:$N,13,FALSE),0)&lt;=9),INT(VLOOKUP(AK743,Equip!$A:$N,6,FALSE)*SQRT(AO743)),0)</f>
        <v>0</v>
      </c>
      <c r="AU743">
        <f>IF(AND(IFERROR(VLOOKUP(AL743,Equip!$A:$N,13,FALSE),0)&gt;=5,IFERROR(VLOOKUP(AL743,Equip!$A:$N,13,FALSE),0)&lt;=9),INT(VLOOKUP(AL743,Equip!$A:$N,6,FALSE)*SQRT(AP743)),0)</f>
        <v>0</v>
      </c>
      <c r="AV743">
        <f>IF(AND(IFERROR(VLOOKUP(AM743,Equip!$A:$N,13,FALSE),0)&gt;=5,IFERROR(VLOOKUP(AM743,Equip!$A:$N,13,FALSE),0)&lt;=9),INT(VLOOKUP(AM743,Equip!$A:$N,6,FALSE)*SQRT(AQ743)),0)</f>
        <v>0</v>
      </c>
      <c r="AW743">
        <f t="shared" si="1773"/>
        <v>0</v>
      </c>
      <c r="AX743">
        <f t="shared" si="1774"/>
        <v>430</v>
      </c>
    </row>
    <row r="744" spans="1:50">
      <c r="A744">
        <v>737</v>
      </c>
      <c r="B744" t="s">
        <v>1062</v>
      </c>
      <c r="C744" t="s">
        <v>1063</v>
      </c>
      <c r="D744">
        <v>2</v>
      </c>
      <c r="E744">
        <f t="shared" si="1897"/>
        <v>1392</v>
      </c>
      <c r="F744">
        <f t="shared" si="1898"/>
        <v>798</v>
      </c>
      <c r="G744">
        <f t="shared" si="1899"/>
        <v>737</v>
      </c>
      <c r="H744">
        <f t="shared" si="1900"/>
        <v>0</v>
      </c>
      <c r="I744">
        <f t="shared" si="1901"/>
        <v>2</v>
      </c>
      <c r="J744">
        <f t="shared" si="1902"/>
        <v>3</v>
      </c>
      <c r="K744">
        <v>1</v>
      </c>
      <c r="L744">
        <v>1</v>
      </c>
      <c r="M744">
        <v>37</v>
      </c>
      <c r="N744">
        <v>37</v>
      </c>
      <c r="O744">
        <v>23</v>
      </c>
      <c r="P744">
        <v>28</v>
      </c>
      <c r="Q744">
        <v>52</v>
      </c>
      <c r="R744">
        <v>71</v>
      </c>
      <c r="S744">
        <v>33</v>
      </c>
      <c r="T744">
        <v>59</v>
      </c>
      <c r="U744">
        <f t="shared" si="1903"/>
        <v>10</v>
      </c>
      <c r="V744">
        <v>33</v>
      </c>
      <c r="W744">
        <f t="shared" si="1904"/>
        <v>1</v>
      </c>
      <c r="X744">
        <v>15</v>
      </c>
      <c r="Y744">
        <f t="shared" si="1905"/>
        <v>0</v>
      </c>
      <c r="Z744">
        <v>20</v>
      </c>
      <c r="AA744">
        <v>25</v>
      </c>
      <c r="AB744">
        <v>49</v>
      </c>
      <c r="AC744">
        <v>71</v>
      </c>
      <c r="AD744">
        <v>66</v>
      </c>
      <c r="AE744">
        <v>53</v>
      </c>
      <c r="AF744">
        <v>59</v>
      </c>
      <c r="AG744">
        <v>85</v>
      </c>
      <c r="AH744">
        <v>69</v>
      </c>
      <c r="AI744">
        <v>41</v>
      </c>
      <c r="AJ744">
        <v>720</v>
      </c>
      <c r="AK744">
        <v>779</v>
      </c>
      <c r="AL744">
        <v>84</v>
      </c>
      <c r="AM744">
        <v>-1</v>
      </c>
      <c r="AN744">
        <v>0</v>
      </c>
      <c r="AO744">
        <v>0</v>
      </c>
      <c r="AP744">
        <v>0</v>
      </c>
      <c r="AQ744">
        <v>0</v>
      </c>
      <c r="AR744">
        <f t="shared" si="1791"/>
        <v>0</v>
      </c>
      <c r="AS744">
        <f>IF(AND(IFERROR(VLOOKUP(AJ744,Equip!$A:$N,13,FALSE),0)&gt;=5,IFERROR(VLOOKUP(AJ744,Equip!$A:$N,13,FALSE),0)&lt;=9),INT(VLOOKUP(AJ744,Equip!$A:$N,6,FALSE)*SQRT(AN744)),0)</f>
        <v>0</v>
      </c>
      <c r="AT744">
        <f>IF(AND(IFERROR(VLOOKUP(AK744,Equip!$A:$N,13,FALSE),0)&gt;=5,IFERROR(VLOOKUP(AK744,Equip!$A:$N,13,FALSE),0)&lt;=9),INT(VLOOKUP(AK744,Equip!$A:$N,6,FALSE)*SQRT(AO744)),0)</f>
        <v>0</v>
      </c>
      <c r="AU744">
        <f>IF(AND(IFERROR(VLOOKUP(AL744,Equip!$A:$N,13,FALSE),0)&gt;=5,IFERROR(VLOOKUP(AL744,Equip!$A:$N,13,FALSE),0)&lt;=9),INT(VLOOKUP(AL744,Equip!$A:$N,6,FALSE)*SQRT(AP744)),0)</f>
        <v>0</v>
      </c>
      <c r="AV744">
        <f>IF(AND(IFERROR(VLOOKUP(AM744,Equip!$A:$N,13,FALSE),0)&gt;=5,IFERROR(VLOOKUP(AM744,Equip!$A:$N,13,FALSE),0)&lt;=9),INT(VLOOKUP(AM744,Equip!$A:$N,6,FALSE)*SQRT(AQ744)),0)</f>
        <v>0</v>
      </c>
      <c r="AW744">
        <f t="shared" si="1773"/>
        <v>0</v>
      </c>
      <c r="AX744">
        <f t="shared" si="1774"/>
        <v>471</v>
      </c>
    </row>
    <row r="745" spans="1:50">
      <c r="A745">
        <v>738</v>
      </c>
      <c r="B745" t="s">
        <v>658</v>
      </c>
      <c r="C745" t="s">
        <v>1064</v>
      </c>
      <c r="D745">
        <v>0</v>
      </c>
      <c r="E745">
        <v>2087</v>
      </c>
      <c r="F745">
        <v>1095</v>
      </c>
      <c r="G745">
        <v>738</v>
      </c>
      <c r="H745">
        <v>1</v>
      </c>
      <c r="I745">
        <v>5</v>
      </c>
      <c r="J745">
        <v>6</v>
      </c>
      <c r="K745">
        <v>3</v>
      </c>
      <c r="L745">
        <v>4</v>
      </c>
      <c r="M745">
        <v>50</v>
      </c>
      <c r="N745">
        <v>50</v>
      </c>
      <c r="O745">
        <v>35</v>
      </c>
      <c r="P745">
        <v>28</v>
      </c>
      <c r="Q745">
        <v>18</v>
      </c>
      <c r="R745">
        <v>31</v>
      </c>
      <c r="S745">
        <v>36</v>
      </c>
      <c r="T745">
        <v>0</v>
      </c>
      <c r="U745">
        <v>10</v>
      </c>
      <c r="V745">
        <v>15</v>
      </c>
      <c r="W745">
        <v>2</v>
      </c>
      <c r="X745">
        <v>13</v>
      </c>
      <c r="Y745">
        <v>0</v>
      </c>
      <c r="Z745">
        <v>35</v>
      </c>
      <c r="AA745">
        <v>70</v>
      </c>
      <c r="AB745">
        <v>55</v>
      </c>
      <c r="AC745">
        <v>53</v>
      </c>
      <c r="AD745">
        <v>66</v>
      </c>
      <c r="AE745">
        <v>41</v>
      </c>
      <c r="AF745">
        <v>49</v>
      </c>
      <c r="AG745">
        <v>71</v>
      </c>
      <c r="AH745">
        <v>0</v>
      </c>
      <c r="AI745">
        <v>50</v>
      </c>
      <c r="AJ745">
        <v>785</v>
      </c>
      <c r="AK745">
        <v>744</v>
      </c>
      <c r="AL745">
        <v>772</v>
      </c>
      <c r="AM745">
        <v>-1</v>
      </c>
      <c r="AN745">
        <v>2</v>
      </c>
      <c r="AO745">
        <v>2</v>
      </c>
      <c r="AP745">
        <v>2</v>
      </c>
      <c r="AQ745">
        <v>0</v>
      </c>
      <c r="AR745">
        <f t="shared" si="1791"/>
        <v>6</v>
      </c>
      <c r="AS745">
        <f>IF(AND(IFERROR(VLOOKUP(AJ745,Equip!$A:$N,13,FALSE),0)&gt;=5,IFERROR(VLOOKUP(AJ745,Equip!$A:$N,13,FALSE),0)&lt;=9),INT(VLOOKUP(AJ745,Equip!$A:$N,6,FALSE)*SQRT(AN745)),0)</f>
        <v>0</v>
      </c>
      <c r="AT745">
        <f>IF(AND(IFERROR(VLOOKUP(AK745,Equip!$A:$N,13,FALSE),0)&gt;=5,IFERROR(VLOOKUP(AK745,Equip!$A:$N,13,FALSE),0)&lt;=9),INT(VLOOKUP(AK745,Equip!$A:$N,6,FALSE)*SQRT(AO745)),0)</f>
        <v>0</v>
      </c>
      <c r="AU745">
        <f>IF(AND(IFERROR(VLOOKUP(AL745,Equip!$A:$N,13,FALSE),0)&gt;=5,IFERROR(VLOOKUP(AL745,Equip!$A:$N,13,FALSE),0)&lt;=9),INT(VLOOKUP(AL745,Equip!$A:$N,6,FALSE)*SQRT(AP745)),0)</f>
        <v>0</v>
      </c>
      <c r="AV745">
        <f>IF(AND(IFERROR(VLOOKUP(AM745,Equip!$A:$N,13,FALSE),0)&gt;=5,IFERROR(VLOOKUP(AM745,Equip!$A:$N,13,FALSE),0)&lt;=9),INT(VLOOKUP(AM745,Equip!$A:$N,6,FALSE)*SQRT(AQ745)),0)</f>
        <v>0</v>
      </c>
      <c r="AW745">
        <f t="shared" si="1773"/>
        <v>0</v>
      </c>
      <c r="AX745">
        <f t="shared" si="1774"/>
        <v>386</v>
      </c>
    </row>
    <row r="746" spans="1:50">
      <c r="A746">
        <v>738</v>
      </c>
      <c r="B746" t="s">
        <v>658</v>
      </c>
      <c r="C746" t="s">
        <v>1064</v>
      </c>
      <c r="D746">
        <v>1</v>
      </c>
      <c r="E746">
        <f t="shared" ref="E746:E747" si="1906">E745</f>
        <v>2087</v>
      </c>
      <c r="F746">
        <f t="shared" ref="F746:F747" si="1907">F745</f>
        <v>1095</v>
      </c>
      <c r="G746">
        <f t="shared" ref="G746:G747" si="1908">G745</f>
        <v>738</v>
      </c>
      <c r="H746">
        <f t="shared" ref="H746:H747" si="1909">H745</f>
        <v>1</v>
      </c>
      <c r="I746">
        <f t="shared" ref="I746:I747" si="1910">I745</f>
        <v>5</v>
      </c>
      <c r="J746">
        <f t="shared" ref="J746:J747" si="1911">J745</f>
        <v>6</v>
      </c>
      <c r="K746">
        <v>3</v>
      </c>
      <c r="L746">
        <v>4</v>
      </c>
      <c r="M746">
        <v>61</v>
      </c>
      <c r="N746">
        <v>61</v>
      </c>
      <c r="O746">
        <v>40</v>
      </c>
      <c r="P746">
        <v>40</v>
      </c>
      <c r="Q746">
        <v>25</v>
      </c>
      <c r="R746">
        <v>37</v>
      </c>
      <c r="S746">
        <v>54</v>
      </c>
      <c r="T746">
        <v>0</v>
      </c>
      <c r="U746">
        <f t="shared" ref="U746:U747" si="1912">U745</f>
        <v>10</v>
      </c>
      <c r="V746">
        <v>25</v>
      </c>
      <c r="W746">
        <f t="shared" ref="W746:W747" si="1913">W745</f>
        <v>2</v>
      </c>
      <c r="X746">
        <v>15</v>
      </c>
      <c r="Y746">
        <f t="shared" ref="Y746:Y747" si="1914">Y745</f>
        <v>0</v>
      </c>
      <c r="Z746">
        <v>35</v>
      </c>
      <c r="AA746">
        <v>70</v>
      </c>
      <c r="AB746">
        <v>72</v>
      </c>
      <c r="AC746">
        <v>73</v>
      </c>
      <c r="AD746">
        <v>81</v>
      </c>
      <c r="AE746">
        <v>66</v>
      </c>
      <c r="AF746">
        <v>59</v>
      </c>
      <c r="AG746">
        <v>75</v>
      </c>
      <c r="AH746">
        <v>0</v>
      </c>
      <c r="AI746">
        <v>60</v>
      </c>
      <c r="AJ746">
        <v>785</v>
      </c>
      <c r="AK746">
        <v>722</v>
      </c>
      <c r="AL746">
        <v>769</v>
      </c>
      <c r="AM746">
        <v>0</v>
      </c>
      <c r="AN746">
        <v>2</v>
      </c>
      <c r="AO746">
        <v>2</v>
      </c>
      <c r="AP746">
        <v>2</v>
      </c>
      <c r="AQ746">
        <v>2</v>
      </c>
      <c r="AR746">
        <f t="shared" si="1791"/>
        <v>8</v>
      </c>
      <c r="AS746">
        <f>IF(AND(IFERROR(VLOOKUP(AJ746,Equip!$A:$N,13,FALSE),0)&gt;=5,IFERROR(VLOOKUP(AJ746,Equip!$A:$N,13,FALSE),0)&lt;=9),INT(VLOOKUP(AJ746,Equip!$A:$N,6,FALSE)*SQRT(AN746)),0)</f>
        <v>0</v>
      </c>
      <c r="AT746">
        <f>IF(AND(IFERROR(VLOOKUP(AK746,Equip!$A:$N,13,FALSE),0)&gt;=5,IFERROR(VLOOKUP(AK746,Equip!$A:$N,13,FALSE),0)&lt;=9),INT(VLOOKUP(AK746,Equip!$A:$N,6,FALSE)*SQRT(AO746)),0)</f>
        <v>0</v>
      </c>
      <c r="AU746">
        <f>IF(AND(IFERROR(VLOOKUP(AL746,Equip!$A:$N,13,FALSE),0)&gt;=5,IFERROR(VLOOKUP(AL746,Equip!$A:$N,13,FALSE),0)&lt;=9),INT(VLOOKUP(AL746,Equip!$A:$N,6,FALSE)*SQRT(AP746)),0)</f>
        <v>0</v>
      </c>
      <c r="AV746">
        <f>IF(AND(IFERROR(VLOOKUP(AM746,Equip!$A:$N,13,FALSE),0)&gt;=5,IFERROR(VLOOKUP(AM746,Equip!$A:$N,13,FALSE),0)&lt;=9),INT(VLOOKUP(AM746,Equip!$A:$N,6,FALSE)*SQRT(AQ746)),0)</f>
        <v>0</v>
      </c>
      <c r="AW746">
        <f t="shared" si="1773"/>
        <v>0</v>
      </c>
      <c r="AX746">
        <f t="shared" si="1774"/>
        <v>488</v>
      </c>
    </row>
    <row r="747" spans="1:50">
      <c r="A747">
        <v>738</v>
      </c>
      <c r="B747" t="s">
        <v>658</v>
      </c>
      <c r="C747" t="s">
        <v>1064</v>
      </c>
      <c r="D747">
        <v>2</v>
      </c>
      <c r="E747">
        <f t="shared" si="1906"/>
        <v>2087</v>
      </c>
      <c r="F747">
        <f t="shared" si="1907"/>
        <v>1095</v>
      </c>
      <c r="G747">
        <f t="shared" si="1908"/>
        <v>738</v>
      </c>
      <c r="H747">
        <f t="shared" si="1909"/>
        <v>1</v>
      </c>
      <c r="I747">
        <f t="shared" si="1910"/>
        <v>5</v>
      </c>
      <c r="J747">
        <f t="shared" si="1911"/>
        <v>6</v>
      </c>
      <c r="K747">
        <v>3</v>
      </c>
      <c r="L747">
        <v>4</v>
      </c>
      <c r="M747">
        <v>69</v>
      </c>
      <c r="N747">
        <v>69</v>
      </c>
      <c r="O747">
        <v>43</v>
      </c>
      <c r="P747">
        <v>51</v>
      </c>
      <c r="Q747">
        <v>31</v>
      </c>
      <c r="R747">
        <v>45</v>
      </c>
      <c r="S747">
        <v>61</v>
      </c>
      <c r="T747">
        <v>0</v>
      </c>
      <c r="U747">
        <f t="shared" si="1912"/>
        <v>10</v>
      </c>
      <c r="V747">
        <v>28</v>
      </c>
      <c r="W747">
        <f t="shared" si="1913"/>
        <v>2</v>
      </c>
      <c r="X747">
        <v>18</v>
      </c>
      <c r="Y747">
        <f t="shared" si="1914"/>
        <v>0</v>
      </c>
      <c r="Z747">
        <v>40</v>
      </c>
      <c r="AA747">
        <v>75</v>
      </c>
      <c r="AB747">
        <v>75</v>
      </c>
      <c r="AC747">
        <v>79</v>
      </c>
      <c r="AD747">
        <v>90</v>
      </c>
      <c r="AE747">
        <v>81</v>
      </c>
      <c r="AF747">
        <v>69</v>
      </c>
      <c r="AG747">
        <v>83</v>
      </c>
      <c r="AH747">
        <v>0</v>
      </c>
      <c r="AI747">
        <v>64</v>
      </c>
      <c r="AJ747">
        <v>785</v>
      </c>
      <c r="AK747">
        <v>191</v>
      </c>
      <c r="AL747">
        <v>750</v>
      </c>
      <c r="AM747">
        <v>0</v>
      </c>
      <c r="AN747">
        <v>2</v>
      </c>
      <c r="AO747">
        <v>2</v>
      </c>
      <c r="AP747">
        <v>2</v>
      </c>
      <c r="AQ747">
        <v>2</v>
      </c>
      <c r="AR747">
        <f t="shared" si="1791"/>
        <v>8</v>
      </c>
      <c r="AS747">
        <f>IF(AND(IFERROR(VLOOKUP(AJ747,Equip!$A:$N,13,FALSE),0)&gt;=5,IFERROR(VLOOKUP(AJ747,Equip!$A:$N,13,FALSE),0)&lt;=9),INT(VLOOKUP(AJ747,Equip!$A:$N,6,FALSE)*SQRT(AN747)),0)</f>
        <v>0</v>
      </c>
      <c r="AT747">
        <f>IF(AND(IFERROR(VLOOKUP(AK747,Equip!$A:$N,13,FALSE),0)&gt;=5,IFERROR(VLOOKUP(AK747,Equip!$A:$N,13,FALSE),0)&lt;=9),INT(VLOOKUP(AK747,Equip!$A:$N,6,FALSE)*SQRT(AO747)),0)</f>
        <v>0</v>
      </c>
      <c r="AU747">
        <f>IF(AND(IFERROR(VLOOKUP(AL747,Equip!$A:$N,13,FALSE),0)&gt;=5,IFERROR(VLOOKUP(AL747,Equip!$A:$N,13,FALSE),0)&lt;=9),INT(VLOOKUP(AL747,Equip!$A:$N,6,FALSE)*SQRT(AP747)),0)</f>
        <v>0</v>
      </c>
      <c r="AV747">
        <f>IF(AND(IFERROR(VLOOKUP(AM747,Equip!$A:$N,13,FALSE),0)&gt;=5,IFERROR(VLOOKUP(AM747,Equip!$A:$N,13,FALSE),0)&lt;=9),INT(VLOOKUP(AM747,Equip!$A:$N,6,FALSE)*SQRT(AQ747)),0)</f>
        <v>0</v>
      </c>
      <c r="AW747">
        <f t="shared" si="1773"/>
        <v>0</v>
      </c>
      <c r="AX747">
        <f t="shared" si="1774"/>
        <v>541</v>
      </c>
    </row>
    <row r="748" spans="1:50">
      <c r="A748">
        <v>739</v>
      </c>
      <c r="B748" t="s">
        <v>1065</v>
      </c>
      <c r="C748" t="s">
        <v>1066</v>
      </c>
      <c r="D748">
        <v>0</v>
      </c>
      <c r="E748">
        <v>1331</v>
      </c>
      <c r="F748">
        <v>765</v>
      </c>
      <c r="G748">
        <v>739</v>
      </c>
      <c r="H748">
        <v>0</v>
      </c>
      <c r="I748">
        <v>6</v>
      </c>
      <c r="J748">
        <v>4</v>
      </c>
      <c r="K748">
        <v>1</v>
      </c>
      <c r="L748">
        <v>1</v>
      </c>
      <c r="M748">
        <v>20</v>
      </c>
      <c r="N748">
        <v>20</v>
      </c>
      <c r="O748">
        <v>10</v>
      </c>
      <c r="P748">
        <v>8</v>
      </c>
      <c r="Q748">
        <v>20</v>
      </c>
      <c r="R748">
        <v>32</v>
      </c>
      <c r="S748">
        <v>28</v>
      </c>
      <c r="T748">
        <v>30</v>
      </c>
      <c r="U748">
        <v>10</v>
      </c>
      <c r="V748">
        <v>6</v>
      </c>
      <c r="W748">
        <v>1</v>
      </c>
      <c r="X748">
        <v>12</v>
      </c>
      <c r="Y748">
        <v>0</v>
      </c>
      <c r="Z748">
        <v>15</v>
      </c>
      <c r="AA748">
        <v>25</v>
      </c>
      <c r="AB748">
        <v>30</v>
      </c>
      <c r="AC748">
        <v>70</v>
      </c>
      <c r="AD748">
        <v>58</v>
      </c>
      <c r="AE748">
        <v>23</v>
      </c>
      <c r="AF748">
        <v>49</v>
      </c>
      <c r="AG748">
        <v>72</v>
      </c>
      <c r="AH748">
        <v>60</v>
      </c>
      <c r="AI748">
        <v>16</v>
      </c>
      <c r="AJ748">
        <v>724</v>
      </c>
      <c r="AK748">
        <v>773</v>
      </c>
      <c r="AL748">
        <v>-1</v>
      </c>
      <c r="AM748">
        <v>-1</v>
      </c>
      <c r="AN748">
        <v>0</v>
      </c>
      <c r="AO748">
        <v>0</v>
      </c>
      <c r="AP748">
        <v>0</v>
      </c>
      <c r="AQ748">
        <v>0</v>
      </c>
      <c r="AR748">
        <f t="shared" si="1791"/>
        <v>0</v>
      </c>
      <c r="AS748">
        <f>IF(AND(IFERROR(VLOOKUP(AJ748,Equip!$A:$N,13,FALSE),0)&gt;=5,IFERROR(VLOOKUP(AJ748,Equip!$A:$N,13,FALSE),0)&lt;=9),INT(VLOOKUP(AJ748,Equip!$A:$N,6,FALSE)*SQRT(AN748)),0)</f>
        <v>0</v>
      </c>
      <c r="AT748">
        <f>IF(AND(IFERROR(VLOOKUP(AK748,Equip!$A:$N,13,FALSE),0)&gt;=5,IFERROR(VLOOKUP(AK748,Equip!$A:$N,13,FALSE),0)&lt;=9),INT(VLOOKUP(AK748,Equip!$A:$N,6,FALSE)*SQRT(AO748)),0)</f>
        <v>0</v>
      </c>
      <c r="AU748">
        <f>IF(AND(IFERROR(VLOOKUP(AL748,Equip!$A:$N,13,FALSE),0)&gt;=5,IFERROR(VLOOKUP(AL748,Equip!$A:$N,13,FALSE),0)&lt;=9),INT(VLOOKUP(AL748,Equip!$A:$N,6,FALSE)*SQRT(AP748)),0)</f>
        <v>0</v>
      </c>
      <c r="AV748">
        <f>IF(AND(IFERROR(VLOOKUP(AM748,Equip!$A:$N,13,FALSE),0)&gt;=5,IFERROR(VLOOKUP(AM748,Equip!$A:$N,13,FALSE),0)&lt;=9),INT(VLOOKUP(AM748,Equip!$A:$N,6,FALSE)*SQRT(AQ748)),0)</f>
        <v>0</v>
      </c>
      <c r="AW748">
        <f t="shared" si="1773"/>
        <v>0</v>
      </c>
      <c r="AX748">
        <f t="shared" si="1774"/>
        <v>349</v>
      </c>
    </row>
    <row r="749" spans="1:50">
      <c r="A749">
        <v>739</v>
      </c>
      <c r="B749" t="s">
        <v>1065</v>
      </c>
      <c r="C749" t="s">
        <v>1066</v>
      </c>
      <c r="D749">
        <v>1</v>
      </c>
      <c r="E749">
        <f t="shared" ref="E749:E750" si="1915">E748</f>
        <v>1331</v>
      </c>
      <c r="F749">
        <f t="shared" ref="F749:F750" si="1916">F748</f>
        <v>765</v>
      </c>
      <c r="G749">
        <f t="shared" ref="G749:G750" si="1917">G748</f>
        <v>739</v>
      </c>
      <c r="H749">
        <f t="shared" ref="H749:H750" si="1918">H748</f>
        <v>0</v>
      </c>
      <c r="I749">
        <f t="shared" ref="I749:I750" si="1919">I748</f>
        <v>6</v>
      </c>
      <c r="J749">
        <f t="shared" ref="J749:J750" si="1920">J748</f>
        <v>4</v>
      </c>
      <c r="K749">
        <v>1</v>
      </c>
      <c r="L749">
        <v>1</v>
      </c>
      <c r="M749">
        <v>36</v>
      </c>
      <c r="N749">
        <v>36</v>
      </c>
      <c r="O749">
        <v>10</v>
      </c>
      <c r="P749">
        <v>8</v>
      </c>
      <c r="Q749">
        <v>20</v>
      </c>
      <c r="R749">
        <v>42</v>
      </c>
      <c r="S749">
        <v>29</v>
      </c>
      <c r="T749">
        <v>36</v>
      </c>
      <c r="U749">
        <f t="shared" ref="U749:U750" si="1921">U748</f>
        <v>10</v>
      </c>
      <c r="V749">
        <v>8</v>
      </c>
      <c r="W749">
        <f t="shared" ref="W749:W750" si="1922">W748</f>
        <v>1</v>
      </c>
      <c r="X749">
        <v>15</v>
      </c>
      <c r="Y749">
        <f t="shared" ref="Y749:Y750" si="1923">Y748</f>
        <v>0</v>
      </c>
      <c r="Z749">
        <v>15</v>
      </c>
      <c r="AA749">
        <v>25</v>
      </c>
      <c r="AB749">
        <v>49</v>
      </c>
      <c r="AC749">
        <v>75</v>
      </c>
      <c r="AD749">
        <v>66</v>
      </c>
      <c r="AE749">
        <v>51</v>
      </c>
      <c r="AF749">
        <v>69</v>
      </c>
      <c r="AG749">
        <v>84</v>
      </c>
      <c r="AH749">
        <v>68</v>
      </c>
      <c r="AI749">
        <v>39</v>
      </c>
      <c r="AJ749">
        <v>724</v>
      </c>
      <c r="AK749">
        <v>834</v>
      </c>
      <c r="AL749">
        <v>0</v>
      </c>
      <c r="AM749">
        <v>-1</v>
      </c>
      <c r="AN749">
        <v>0</v>
      </c>
      <c r="AO749">
        <v>0</v>
      </c>
      <c r="AP749">
        <v>0</v>
      </c>
      <c r="AQ749">
        <v>0</v>
      </c>
      <c r="AR749">
        <f t="shared" si="1791"/>
        <v>0</v>
      </c>
      <c r="AS749">
        <f>IF(AND(IFERROR(VLOOKUP(AJ749,Equip!$A:$N,13,FALSE),0)&gt;=5,IFERROR(VLOOKUP(AJ749,Equip!$A:$N,13,FALSE),0)&lt;=9),INT(VLOOKUP(AJ749,Equip!$A:$N,6,FALSE)*SQRT(AN749)),0)</f>
        <v>0</v>
      </c>
      <c r="AT749">
        <f>IF(AND(IFERROR(VLOOKUP(AK749,Equip!$A:$N,13,FALSE),0)&gt;=5,IFERROR(VLOOKUP(AK749,Equip!$A:$N,13,FALSE),0)&lt;=9),INT(VLOOKUP(AK749,Equip!$A:$N,6,FALSE)*SQRT(AO749)),0)</f>
        <v>0</v>
      </c>
      <c r="AU749">
        <f>IF(AND(IFERROR(VLOOKUP(AL749,Equip!$A:$N,13,FALSE),0)&gt;=5,IFERROR(VLOOKUP(AL749,Equip!$A:$N,13,FALSE),0)&lt;=9),INT(VLOOKUP(AL749,Equip!$A:$N,6,FALSE)*SQRT(AP749)),0)</f>
        <v>0</v>
      </c>
      <c r="AV749">
        <f>IF(AND(IFERROR(VLOOKUP(AM749,Equip!$A:$N,13,FALSE),0)&gt;=5,IFERROR(VLOOKUP(AM749,Equip!$A:$N,13,FALSE),0)&lt;=9),INT(VLOOKUP(AM749,Equip!$A:$N,6,FALSE)*SQRT(AQ749)),0)</f>
        <v>0</v>
      </c>
      <c r="AW749">
        <f t="shared" si="1773"/>
        <v>0</v>
      </c>
      <c r="AX749">
        <f t="shared" si="1774"/>
        <v>468</v>
      </c>
    </row>
    <row r="750" spans="1:50">
      <c r="A750">
        <v>739</v>
      </c>
      <c r="B750" t="s">
        <v>1065</v>
      </c>
      <c r="C750" t="s">
        <v>1066</v>
      </c>
      <c r="D750">
        <v>2</v>
      </c>
      <c r="E750">
        <f t="shared" si="1915"/>
        <v>1331</v>
      </c>
      <c r="F750">
        <f t="shared" si="1916"/>
        <v>765</v>
      </c>
      <c r="G750">
        <f t="shared" si="1917"/>
        <v>739</v>
      </c>
      <c r="H750">
        <f t="shared" si="1918"/>
        <v>0</v>
      </c>
      <c r="I750">
        <f t="shared" si="1919"/>
        <v>6</v>
      </c>
      <c r="J750">
        <f t="shared" si="1920"/>
        <v>4</v>
      </c>
      <c r="K750">
        <v>1</v>
      </c>
      <c r="L750">
        <v>1</v>
      </c>
      <c r="M750">
        <v>38</v>
      </c>
      <c r="N750">
        <v>38</v>
      </c>
      <c r="O750">
        <v>20</v>
      </c>
      <c r="P750">
        <v>13</v>
      </c>
      <c r="Q750">
        <v>25</v>
      </c>
      <c r="R750">
        <v>52</v>
      </c>
      <c r="S750">
        <v>39</v>
      </c>
      <c r="T750">
        <v>46</v>
      </c>
      <c r="U750">
        <f t="shared" si="1921"/>
        <v>10</v>
      </c>
      <c r="V750">
        <v>26</v>
      </c>
      <c r="W750">
        <f t="shared" si="1922"/>
        <v>1</v>
      </c>
      <c r="X750">
        <v>20</v>
      </c>
      <c r="Y750">
        <f t="shared" si="1923"/>
        <v>0</v>
      </c>
      <c r="Z750">
        <v>20</v>
      </c>
      <c r="AA750">
        <v>30</v>
      </c>
      <c r="AB750">
        <v>69</v>
      </c>
      <c r="AC750">
        <v>77</v>
      </c>
      <c r="AD750">
        <v>88</v>
      </c>
      <c r="AE750">
        <v>53</v>
      </c>
      <c r="AF750">
        <v>79</v>
      </c>
      <c r="AG750">
        <v>86</v>
      </c>
      <c r="AH750">
        <v>70</v>
      </c>
      <c r="AI750">
        <v>47</v>
      </c>
      <c r="AJ750">
        <v>724</v>
      </c>
      <c r="AK750">
        <v>849</v>
      </c>
      <c r="AL750">
        <v>0</v>
      </c>
      <c r="AM750">
        <v>-1</v>
      </c>
      <c r="AN750">
        <v>0</v>
      </c>
      <c r="AO750">
        <v>0</v>
      </c>
      <c r="AP750">
        <v>0</v>
      </c>
      <c r="AQ750">
        <v>0</v>
      </c>
      <c r="AR750">
        <f t="shared" si="1791"/>
        <v>0</v>
      </c>
      <c r="AS750">
        <f>IF(AND(IFERROR(VLOOKUP(AJ750,Equip!$A:$N,13,FALSE),0)&gt;=5,IFERROR(VLOOKUP(AJ750,Equip!$A:$N,13,FALSE),0)&lt;=9),INT(VLOOKUP(AJ750,Equip!$A:$N,6,FALSE)*SQRT(AN750)),0)</f>
        <v>0</v>
      </c>
      <c r="AT750">
        <f>IF(AND(IFERROR(VLOOKUP(AK750,Equip!$A:$N,13,FALSE),0)&gt;=5,IFERROR(VLOOKUP(AK750,Equip!$A:$N,13,FALSE),0)&lt;=9),INT(VLOOKUP(AK750,Equip!$A:$N,6,FALSE)*SQRT(AO750)),0)</f>
        <v>0</v>
      </c>
      <c r="AU750">
        <f>IF(AND(IFERROR(VLOOKUP(AL750,Equip!$A:$N,13,FALSE),0)&gt;=5,IFERROR(VLOOKUP(AL750,Equip!$A:$N,13,FALSE),0)&lt;=9),INT(VLOOKUP(AL750,Equip!$A:$N,6,FALSE)*SQRT(AP750)),0)</f>
        <v>0</v>
      </c>
      <c r="AV750">
        <f>IF(AND(IFERROR(VLOOKUP(AM750,Equip!$A:$N,13,FALSE),0)&gt;=5,IFERROR(VLOOKUP(AM750,Equip!$A:$N,13,FALSE),0)&lt;=9),INT(VLOOKUP(AM750,Equip!$A:$N,6,FALSE)*SQRT(AQ750)),0)</f>
        <v>0</v>
      </c>
      <c r="AW750">
        <f t="shared" si="1773"/>
        <v>0</v>
      </c>
      <c r="AX750">
        <f t="shared" si="1774"/>
        <v>528</v>
      </c>
    </row>
    <row r="751" spans="1:50">
      <c r="A751">
        <v>740</v>
      </c>
      <c r="B751" t="s">
        <v>1067</v>
      </c>
      <c r="C751" t="s">
        <v>1068</v>
      </c>
      <c r="D751">
        <v>0</v>
      </c>
      <c r="E751">
        <v>1792</v>
      </c>
      <c r="F751">
        <v>998</v>
      </c>
      <c r="G751">
        <v>740</v>
      </c>
      <c r="H751">
        <v>1</v>
      </c>
      <c r="I751">
        <v>2</v>
      </c>
      <c r="J751">
        <v>11</v>
      </c>
      <c r="K751">
        <v>2</v>
      </c>
      <c r="L751">
        <v>2</v>
      </c>
      <c r="M751">
        <v>31</v>
      </c>
      <c r="N751">
        <v>31</v>
      </c>
      <c r="O751">
        <v>19</v>
      </c>
      <c r="P751">
        <v>15</v>
      </c>
      <c r="Q751">
        <v>20</v>
      </c>
      <c r="R751">
        <v>31</v>
      </c>
      <c r="S751">
        <v>17</v>
      </c>
      <c r="T751">
        <v>26</v>
      </c>
      <c r="U751">
        <v>10</v>
      </c>
      <c r="V751">
        <v>9</v>
      </c>
      <c r="W751">
        <v>2</v>
      </c>
      <c r="X751">
        <v>13</v>
      </c>
      <c r="Y751">
        <v>0</v>
      </c>
      <c r="Z751">
        <v>20</v>
      </c>
      <c r="AA751">
        <v>25</v>
      </c>
      <c r="AB751">
        <v>46</v>
      </c>
      <c r="AC751">
        <v>75</v>
      </c>
      <c r="AD751">
        <v>53</v>
      </c>
      <c r="AE751">
        <v>35</v>
      </c>
      <c r="AF751">
        <v>49</v>
      </c>
      <c r="AG751">
        <v>66</v>
      </c>
      <c r="AH751">
        <v>61</v>
      </c>
      <c r="AI751">
        <v>40</v>
      </c>
      <c r="AJ751">
        <v>728</v>
      </c>
      <c r="AK751">
        <v>771</v>
      </c>
      <c r="AL751">
        <v>0</v>
      </c>
      <c r="AM751">
        <v>-1</v>
      </c>
      <c r="AN751">
        <v>2</v>
      </c>
      <c r="AO751">
        <v>2</v>
      </c>
      <c r="AP751">
        <v>2</v>
      </c>
      <c r="AQ751">
        <v>0</v>
      </c>
      <c r="AR751">
        <f t="shared" si="1791"/>
        <v>6</v>
      </c>
      <c r="AS751">
        <f>IF(AND(IFERROR(VLOOKUP(AJ751,Equip!$A:$N,13,FALSE),0)&gt;=5,IFERROR(VLOOKUP(AJ751,Equip!$A:$N,13,FALSE),0)&lt;=9),INT(VLOOKUP(AJ751,Equip!$A:$N,6,FALSE)*SQRT(AN751)),0)</f>
        <v>0</v>
      </c>
      <c r="AT751">
        <f>IF(AND(IFERROR(VLOOKUP(AK751,Equip!$A:$N,13,FALSE),0)&gt;=5,IFERROR(VLOOKUP(AK751,Equip!$A:$N,13,FALSE),0)&lt;=9),INT(VLOOKUP(AK751,Equip!$A:$N,6,FALSE)*SQRT(AO751)),0)</f>
        <v>0</v>
      </c>
      <c r="AU751">
        <f>IF(AND(IFERROR(VLOOKUP(AL751,Equip!$A:$N,13,FALSE),0)&gt;=5,IFERROR(VLOOKUP(AL751,Equip!$A:$N,13,FALSE),0)&lt;=9),INT(VLOOKUP(AL751,Equip!$A:$N,6,FALSE)*SQRT(AP751)),0)</f>
        <v>0</v>
      </c>
      <c r="AV751">
        <f>IF(AND(IFERROR(VLOOKUP(AM751,Equip!$A:$N,13,FALSE),0)&gt;=5,IFERROR(VLOOKUP(AM751,Equip!$A:$N,13,FALSE),0)&lt;=9),INT(VLOOKUP(AM751,Equip!$A:$N,6,FALSE)*SQRT(AQ751)),0)</f>
        <v>0</v>
      </c>
      <c r="AW751">
        <f t="shared" si="1773"/>
        <v>0</v>
      </c>
      <c r="AX751">
        <f t="shared" si="1774"/>
        <v>407</v>
      </c>
    </row>
    <row r="752" spans="1:50">
      <c r="A752">
        <v>740</v>
      </c>
      <c r="B752" t="s">
        <v>1067</v>
      </c>
      <c r="C752" t="s">
        <v>1068</v>
      </c>
      <c r="D752">
        <v>1</v>
      </c>
      <c r="E752">
        <f>E751</f>
        <v>1792</v>
      </c>
      <c r="F752">
        <f t="shared" ref="F752" si="1924">F751</f>
        <v>998</v>
      </c>
      <c r="G752">
        <f t="shared" ref="G752" si="1925">G751</f>
        <v>740</v>
      </c>
      <c r="H752">
        <f t="shared" ref="H752" si="1926">H751</f>
        <v>1</v>
      </c>
      <c r="I752">
        <f t="shared" ref="I752" si="1927">I751</f>
        <v>2</v>
      </c>
      <c r="J752">
        <f t="shared" ref="J752" si="1928">J751</f>
        <v>11</v>
      </c>
      <c r="K752">
        <v>2</v>
      </c>
      <c r="L752">
        <v>2</v>
      </c>
      <c r="M752">
        <v>47</v>
      </c>
      <c r="N752">
        <v>47</v>
      </c>
      <c r="O752">
        <v>28</v>
      </c>
      <c r="P752">
        <v>34</v>
      </c>
      <c r="Q752">
        <v>25</v>
      </c>
      <c r="R752">
        <v>39</v>
      </c>
      <c r="S752">
        <v>33</v>
      </c>
      <c r="T752">
        <v>33</v>
      </c>
      <c r="U752">
        <f t="shared" ref="U752" si="1929">U751</f>
        <v>10</v>
      </c>
      <c r="V752">
        <v>12</v>
      </c>
      <c r="W752">
        <f t="shared" ref="W752" si="1930">W751</f>
        <v>2</v>
      </c>
      <c r="X752">
        <v>16</v>
      </c>
      <c r="Y752">
        <f t="shared" ref="Y752" si="1931">Y751</f>
        <v>0</v>
      </c>
      <c r="Z752">
        <v>25</v>
      </c>
      <c r="AA752">
        <v>35</v>
      </c>
      <c r="AB752">
        <v>70</v>
      </c>
      <c r="AC752">
        <v>81</v>
      </c>
      <c r="AD752">
        <v>67</v>
      </c>
      <c r="AE752">
        <v>72</v>
      </c>
      <c r="AF752">
        <v>69</v>
      </c>
      <c r="AG752">
        <v>74</v>
      </c>
      <c r="AH752">
        <v>73</v>
      </c>
      <c r="AI752">
        <v>54</v>
      </c>
      <c r="AJ752">
        <v>728</v>
      </c>
      <c r="AK752">
        <v>841</v>
      </c>
      <c r="AL752">
        <v>705</v>
      </c>
      <c r="AM752">
        <v>-1</v>
      </c>
      <c r="AN752">
        <v>2</v>
      </c>
      <c r="AO752">
        <v>2</v>
      </c>
      <c r="AP752">
        <v>2</v>
      </c>
      <c r="AQ752">
        <v>0</v>
      </c>
      <c r="AR752">
        <f t="shared" si="1791"/>
        <v>6</v>
      </c>
      <c r="AS752">
        <f>IF(AND(IFERROR(VLOOKUP(AJ752,Equip!$A:$N,13,FALSE),0)&gt;=5,IFERROR(VLOOKUP(AJ752,Equip!$A:$N,13,FALSE),0)&lt;=9),INT(VLOOKUP(AJ752,Equip!$A:$N,6,FALSE)*SQRT(AN752)),0)</f>
        <v>0</v>
      </c>
      <c r="AT752">
        <f>IF(AND(IFERROR(VLOOKUP(AK752,Equip!$A:$N,13,FALSE),0)&gt;=5,IFERROR(VLOOKUP(AK752,Equip!$A:$N,13,FALSE),0)&lt;=9),INT(VLOOKUP(AK752,Equip!$A:$N,6,FALSE)*SQRT(AO752)),0)</f>
        <v>0</v>
      </c>
      <c r="AU752">
        <f>IF(AND(IFERROR(VLOOKUP(AL752,Equip!$A:$N,13,FALSE),0)&gt;=5,IFERROR(VLOOKUP(AL752,Equip!$A:$N,13,FALSE),0)&lt;=9),INT(VLOOKUP(AL752,Equip!$A:$N,6,FALSE)*SQRT(AP752)),0)</f>
        <v>0</v>
      </c>
      <c r="AV752">
        <f>IF(AND(IFERROR(VLOOKUP(AM752,Equip!$A:$N,13,FALSE),0)&gt;=5,IFERROR(VLOOKUP(AM752,Equip!$A:$N,13,FALSE),0)&lt;=9),INT(VLOOKUP(AM752,Equip!$A:$N,6,FALSE)*SQRT(AQ752)),0)</f>
        <v>0</v>
      </c>
      <c r="AW752">
        <f t="shared" si="1773"/>
        <v>0</v>
      </c>
      <c r="AX752">
        <f t="shared" si="1774"/>
        <v>538</v>
      </c>
    </row>
    <row r="753" spans="1:50">
      <c r="A753">
        <v>741</v>
      </c>
      <c r="B753" t="s">
        <v>1261</v>
      </c>
      <c r="C753" t="s">
        <v>1069</v>
      </c>
      <c r="D753">
        <v>0</v>
      </c>
      <c r="E753">
        <v>1392</v>
      </c>
      <c r="F753">
        <v>798</v>
      </c>
      <c r="G753">
        <v>741</v>
      </c>
      <c r="H753">
        <v>2</v>
      </c>
      <c r="I753">
        <v>5</v>
      </c>
      <c r="J753">
        <v>2</v>
      </c>
      <c r="K753">
        <v>12</v>
      </c>
      <c r="L753">
        <v>4</v>
      </c>
      <c r="M753">
        <v>48</v>
      </c>
      <c r="N753">
        <v>48</v>
      </c>
      <c r="O753">
        <v>0</v>
      </c>
      <c r="P753">
        <v>30</v>
      </c>
      <c r="Q753">
        <v>0</v>
      </c>
      <c r="R753">
        <v>33</v>
      </c>
      <c r="S753">
        <v>50</v>
      </c>
      <c r="T753">
        <v>0</v>
      </c>
      <c r="U753">
        <v>10</v>
      </c>
      <c r="V753">
        <v>40</v>
      </c>
      <c r="W753">
        <v>1</v>
      </c>
      <c r="X753">
        <v>15</v>
      </c>
      <c r="Y753">
        <v>0</v>
      </c>
      <c r="Z753">
        <v>50</v>
      </c>
      <c r="AA753">
        <v>60</v>
      </c>
      <c r="AB753">
        <v>40</v>
      </c>
      <c r="AC753">
        <v>0</v>
      </c>
      <c r="AD753">
        <v>80</v>
      </c>
      <c r="AE753">
        <v>52</v>
      </c>
      <c r="AF753">
        <v>49</v>
      </c>
      <c r="AG753">
        <v>53</v>
      </c>
      <c r="AH753">
        <v>0</v>
      </c>
      <c r="AI753">
        <v>65</v>
      </c>
      <c r="AJ753">
        <v>248</v>
      </c>
      <c r="AK753">
        <v>242</v>
      </c>
      <c r="AL753">
        <v>191</v>
      </c>
      <c r="AM753">
        <v>0</v>
      </c>
      <c r="AN753">
        <v>18</v>
      </c>
      <c r="AO753">
        <v>18</v>
      </c>
      <c r="AP753">
        <v>24</v>
      </c>
      <c r="AQ753">
        <v>12</v>
      </c>
      <c r="AR753">
        <f t="shared" si="1791"/>
        <v>72</v>
      </c>
      <c r="AS753">
        <f>IF(AND(IFERROR(VLOOKUP(AJ753,Equip!$A:$N,13,FALSE),0)&gt;=5,IFERROR(VLOOKUP(AJ753,Equip!$A:$N,13,FALSE),0)&lt;=9),INT(VLOOKUP(AJ753,Equip!$A:$N,6,FALSE)*SQRT(AN753)),0)</f>
        <v>0</v>
      </c>
      <c r="AT753">
        <f>IF(AND(IFERROR(VLOOKUP(AK753,Equip!$A:$N,13,FALSE),0)&gt;=5,IFERROR(VLOOKUP(AK753,Equip!$A:$N,13,FALSE),0)&lt;=9),INT(VLOOKUP(AK753,Equip!$A:$N,6,FALSE)*SQRT(AO753)),0)</f>
        <v>0</v>
      </c>
      <c r="AU753">
        <f>IF(AND(IFERROR(VLOOKUP(AL753,Equip!$A:$N,13,FALSE),0)&gt;=5,IFERROR(VLOOKUP(AL753,Equip!$A:$N,13,FALSE),0)&lt;=9),INT(VLOOKUP(AL753,Equip!$A:$N,6,FALSE)*SQRT(AP753)),0)</f>
        <v>0</v>
      </c>
      <c r="AV753">
        <f>IF(AND(IFERROR(VLOOKUP(AM753,Equip!$A:$N,13,FALSE),0)&gt;=5,IFERROR(VLOOKUP(AM753,Equip!$A:$N,13,FALSE),0)&lt;=9),INT(VLOOKUP(AM753,Equip!$A:$N,6,FALSE)*SQRT(AQ753)),0)</f>
        <v>0</v>
      </c>
      <c r="AW753">
        <f t="shared" si="1773"/>
        <v>0</v>
      </c>
      <c r="AX753">
        <f t="shared" si="1774"/>
        <v>338</v>
      </c>
    </row>
    <row r="754" spans="1:50">
      <c r="A754">
        <v>741</v>
      </c>
      <c r="B754" t="s">
        <v>1261</v>
      </c>
      <c r="C754" t="s">
        <v>1069</v>
      </c>
      <c r="D754">
        <v>1</v>
      </c>
      <c r="E754">
        <f>E753</f>
        <v>1392</v>
      </c>
      <c r="F754">
        <f t="shared" ref="F754" si="1932">F753</f>
        <v>798</v>
      </c>
      <c r="G754">
        <f t="shared" ref="G754" si="1933">G753</f>
        <v>741</v>
      </c>
      <c r="H754">
        <f t="shared" ref="H754" si="1934">H753</f>
        <v>2</v>
      </c>
      <c r="I754">
        <f t="shared" ref="I754" si="1935">I753</f>
        <v>5</v>
      </c>
      <c r="J754">
        <f t="shared" ref="J754" si="1936">J753</f>
        <v>2</v>
      </c>
      <c r="K754">
        <v>12</v>
      </c>
      <c r="L754">
        <v>4</v>
      </c>
      <c r="M754">
        <v>61</v>
      </c>
      <c r="N754">
        <v>61</v>
      </c>
      <c r="O754">
        <v>0</v>
      </c>
      <c r="P754">
        <v>49</v>
      </c>
      <c r="Q754">
        <v>0</v>
      </c>
      <c r="R754">
        <v>39</v>
      </c>
      <c r="S754">
        <v>57</v>
      </c>
      <c r="T754">
        <v>0</v>
      </c>
      <c r="U754">
        <f t="shared" ref="U754" si="1937">U753</f>
        <v>10</v>
      </c>
      <c r="V754">
        <v>50</v>
      </c>
      <c r="W754">
        <f t="shared" ref="W754" si="1938">W753</f>
        <v>1</v>
      </c>
      <c r="X754">
        <v>16</v>
      </c>
      <c r="Y754">
        <f t="shared" ref="Y754" si="1939">Y753</f>
        <v>0</v>
      </c>
      <c r="Z754">
        <v>60</v>
      </c>
      <c r="AA754">
        <v>65</v>
      </c>
      <c r="AB754">
        <v>49</v>
      </c>
      <c r="AC754">
        <v>0</v>
      </c>
      <c r="AD754">
        <v>90</v>
      </c>
      <c r="AE754">
        <v>75</v>
      </c>
      <c r="AF754">
        <v>59</v>
      </c>
      <c r="AG754">
        <v>73</v>
      </c>
      <c r="AH754">
        <v>0</v>
      </c>
      <c r="AI754">
        <v>85</v>
      </c>
      <c r="AJ754">
        <v>761</v>
      </c>
      <c r="AK754">
        <v>839</v>
      </c>
      <c r="AL754">
        <v>712</v>
      </c>
      <c r="AM754">
        <v>0</v>
      </c>
      <c r="AN754">
        <v>20</v>
      </c>
      <c r="AO754">
        <v>20</v>
      </c>
      <c r="AP754">
        <v>26</v>
      </c>
      <c r="AQ754">
        <v>14</v>
      </c>
      <c r="AR754">
        <f t="shared" si="1791"/>
        <v>80</v>
      </c>
      <c r="AS754">
        <f>IF(AND(IFERROR(VLOOKUP(AJ754,Equip!$A:$N,13,FALSE),0)&gt;=5,IFERROR(VLOOKUP(AJ754,Equip!$A:$N,13,FALSE),0)&lt;=9),INT(VLOOKUP(AJ754,Equip!$A:$N,6,FALSE)*SQRT(AN754)),0)</f>
        <v>0</v>
      </c>
      <c r="AT754">
        <f>IF(AND(IFERROR(VLOOKUP(AK754,Equip!$A:$N,13,FALSE),0)&gt;=5,IFERROR(VLOOKUP(AK754,Equip!$A:$N,13,FALSE),0)&lt;=9),INT(VLOOKUP(AK754,Equip!$A:$N,6,FALSE)*SQRT(AO754)),0)</f>
        <v>0</v>
      </c>
      <c r="AU754">
        <f>IF(AND(IFERROR(VLOOKUP(AL754,Equip!$A:$N,13,FALSE),0)&gt;=5,IFERROR(VLOOKUP(AL754,Equip!$A:$N,13,FALSE),0)&lt;=9),INT(VLOOKUP(AL754,Equip!$A:$N,6,FALSE)*SQRT(AP754)),0)</f>
        <v>0</v>
      </c>
      <c r="AV754">
        <f>IF(AND(IFERROR(VLOOKUP(AM754,Equip!$A:$N,13,FALSE),0)&gt;=5,IFERROR(VLOOKUP(AM754,Equip!$A:$N,13,FALSE),0)&lt;=9),INT(VLOOKUP(AM754,Equip!$A:$N,6,FALSE)*SQRT(AQ754)),0)</f>
        <v>0</v>
      </c>
      <c r="AW754">
        <f t="shared" si="1773"/>
        <v>0</v>
      </c>
      <c r="AX754">
        <f t="shared" si="1774"/>
        <v>433</v>
      </c>
    </row>
    <row r="755" spans="1:50">
      <c r="A755">
        <v>742</v>
      </c>
      <c r="B755" t="s">
        <v>1262</v>
      </c>
      <c r="C755" t="s">
        <v>1070</v>
      </c>
      <c r="D755">
        <v>0</v>
      </c>
      <c r="E755">
        <v>2498</v>
      </c>
      <c r="F755">
        <v>1353</v>
      </c>
      <c r="G755">
        <v>742</v>
      </c>
      <c r="H755">
        <v>2</v>
      </c>
      <c r="I755">
        <v>5</v>
      </c>
      <c r="J755">
        <v>2</v>
      </c>
      <c r="K755">
        <v>8</v>
      </c>
      <c r="L755">
        <v>9</v>
      </c>
      <c r="M755">
        <v>72</v>
      </c>
      <c r="N755">
        <v>72</v>
      </c>
      <c r="O755">
        <v>72</v>
      </c>
      <c r="P755">
        <v>71</v>
      </c>
      <c r="Q755">
        <v>0</v>
      </c>
      <c r="R755">
        <v>27</v>
      </c>
      <c r="S755">
        <v>33</v>
      </c>
      <c r="T755">
        <v>0</v>
      </c>
      <c r="U755">
        <v>5</v>
      </c>
      <c r="V755">
        <v>13</v>
      </c>
      <c r="W755">
        <v>3</v>
      </c>
      <c r="X755">
        <v>10</v>
      </c>
      <c r="Y755">
        <v>0</v>
      </c>
      <c r="Z755">
        <v>90</v>
      </c>
      <c r="AA755">
        <v>110</v>
      </c>
      <c r="AB755">
        <v>92</v>
      </c>
      <c r="AC755">
        <v>0</v>
      </c>
      <c r="AD755">
        <v>83</v>
      </c>
      <c r="AE755">
        <v>90</v>
      </c>
      <c r="AF755">
        <v>49</v>
      </c>
      <c r="AG755">
        <v>55</v>
      </c>
      <c r="AH755">
        <v>0</v>
      </c>
      <c r="AI755">
        <v>47</v>
      </c>
      <c r="AJ755">
        <v>190</v>
      </c>
      <c r="AK755">
        <v>722</v>
      </c>
      <c r="AL755">
        <v>746</v>
      </c>
      <c r="AM755">
        <v>0</v>
      </c>
      <c r="AN755">
        <v>3</v>
      </c>
      <c r="AO755">
        <v>3</v>
      </c>
      <c r="AP755">
        <v>3</v>
      </c>
      <c r="AQ755">
        <v>3</v>
      </c>
      <c r="AR755">
        <f t="shared" si="1791"/>
        <v>12</v>
      </c>
      <c r="AS755">
        <f>IF(AND(IFERROR(VLOOKUP(AJ755,Equip!$A:$N,13,FALSE),0)&gt;=5,IFERROR(VLOOKUP(AJ755,Equip!$A:$N,13,FALSE),0)&lt;=9),INT(VLOOKUP(AJ755,Equip!$A:$N,6,FALSE)*SQRT(AN755)),0)</f>
        <v>0</v>
      </c>
      <c r="AT755">
        <f>IF(AND(IFERROR(VLOOKUP(AK755,Equip!$A:$N,13,FALSE),0)&gt;=5,IFERROR(VLOOKUP(AK755,Equip!$A:$N,13,FALSE),0)&lt;=9),INT(VLOOKUP(AK755,Equip!$A:$N,6,FALSE)*SQRT(AO755)),0)</f>
        <v>0</v>
      </c>
      <c r="AU755">
        <f>IF(AND(IFERROR(VLOOKUP(AL755,Equip!$A:$N,13,FALSE),0)&gt;=5,IFERROR(VLOOKUP(AL755,Equip!$A:$N,13,FALSE),0)&lt;=9),INT(VLOOKUP(AL755,Equip!$A:$N,6,FALSE)*SQRT(AP755)),0)</f>
        <v>0</v>
      </c>
      <c r="AV755">
        <f>IF(AND(IFERROR(VLOOKUP(AM755,Equip!$A:$N,13,FALSE),0)&gt;=5,IFERROR(VLOOKUP(AM755,Equip!$A:$N,13,FALSE),0)&lt;=9),INT(VLOOKUP(AM755,Equip!$A:$N,6,FALSE)*SQRT(AQ755)),0)</f>
        <v>0</v>
      </c>
      <c r="AW755">
        <f t="shared" si="1773"/>
        <v>0</v>
      </c>
      <c r="AX755">
        <f t="shared" si="1774"/>
        <v>439</v>
      </c>
    </row>
    <row r="756" spans="1:50">
      <c r="A756">
        <v>742</v>
      </c>
      <c r="B756" t="s">
        <v>1262</v>
      </c>
      <c r="C756" t="s">
        <v>1070</v>
      </c>
      <c r="D756">
        <v>1</v>
      </c>
      <c r="E756">
        <f t="shared" ref="E756:E757" si="1940">E755</f>
        <v>2498</v>
      </c>
      <c r="F756">
        <f t="shared" ref="F756:F757" si="1941">F755</f>
        <v>1353</v>
      </c>
      <c r="G756">
        <f t="shared" ref="G756:G757" si="1942">G755</f>
        <v>742</v>
      </c>
      <c r="H756">
        <f t="shared" ref="H756:H757" si="1943">H755</f>
        <v>2</v>
      </c>
      <c r="I756">
        <f t="shared" ref="I756:I757" si="1944">I755</f>
        <v>5</v>
      </c>
      <c r="J756">
        <f t="shared" ref="J756:J757" si="1945">J755</f>
        <v>2</v>
      </c>
      <c r="K756">
        <v>8</v>
      </c>
      <c r="L756">
        <v>9</v>
      </c>
      <c r="M756">
        <v>79</v>
      </c>
      <c r="N756">
        <v>79</v>
      </c>
      <c r="O756">
        <v>76</v>
      </c>
      <c r="P756">
        <v>75</v>
      </c>
      <c r="Q756">
        <v>0</v>
      </c>
      <c r="R756">
        <v>43</v>
      </c>
      <c r="S756">
        <v>40</v>
      </c>
      <c r="T756">
        <v>0</v>
      </c>
      <c r="U756">
        <f t="shared" ref="U756:U757" si="1946">U755</f>
        <v>5</v>
      </c>
      <c r="V756">
        <v>19</v>
      </c>
      <c r="W756">
        <f t="shared" ref="W756" si="1947">W755</f>
        <v>3</v>
      </c>
      <c r="X756">
        <v>12</v>
      </c>
      <c r="Y756">
        <f t="shared" ref="Y756:Y757" si="1948">Y755</f>
        <v>0</v>
      </c>
      <c r="Z756">
        <v>90</v>
      </c>
      <c r="AA756">
        <v>110</v>
      </c>
      <c r="AB756">
        <v>100</v>
      </c>
      <c r="AC756">
        <v>0</v>
      </c>
      <c r="AD756">
        <v>92</v>
      </c>
      <c r="AE756">
        <v>94</v>
      </c>
      <c r="AF756">
        <v>54</v>
      </c>
      <c r="AG756">
        <v>62</v>
      </c>
      <c r="AH756">
        <v>0</v>
      </c>
      <c r="AI756">
        <v>53</v>
      </c>
      <c r="AJ756">
        <v>192</v>
      </c>
      <c r="AK756">
        <v>832</v>
      </c>
      <c r="AL756">
        <v>191</v>
      </c>
      <c r="AM756">
        <v>0</v>
      </c>
      <c r="AN756">
        <v>3</v>
      </c>
      <c r="AO756">
        <v>3</v>
      </c>
      <c r="AP756">
        <v>3</v>
      </c>
      <c r="AQ756">
        <v>3</v>
      </c>
      <c r="AR756">
        <f t="shared" si="1791"/>
        <v>12</v>
      </c>
      <c r="AS756">
        <f>IF(AND(IFERROR(VLOOKUP(AJ756,Equip!$A:$N,13,FALSE),0)&gt;=5,IFERROR(VLOOKUP(AJ756,Equip!$A:$N,13,FALSE),0)&lt;=9),INT(VLOOKUP(AJ756,Equip!$A:$N,6,FALSE)*SQRT(AN756)),0)</f>
        <v>0</v>
      </c>
      <c r="AT756">
        <f>IF(AND(IFERROR(VLOOKUP(AK756,Equip!$A:$N,13,FALSE),0)&gt;=5,IFERROR(VLOOKUP(AK756,Equip!$A:$N,13,FALSE),0)&lt;=9),INT(VLOOKUP(AK756,Equip!$A:$N,6,FALSE)*SQRT(AO756)),0)</f>
        <v>0</v>
      </c>
      <c r="AU756">
        <f>IF(AND(IFERROR(VLOOKUP(AL756,Equip!$A:$N,13,FALSE),0)&gt;=5,IFERROR(VLOOKUP(AL756,Equip!$A:$N,13,FALSE),0)&lt;=9),INT(VLOOKUP(AL756,Equip!$A:$N,6,FALSE)*SQRT(AP756)),0)</f>
        <v>0</v>
      </c>
      <c r="AV756">
        <f>IF(AND(IFERROR(VLOOKUP(AM756,Equip!$A:$N,13,FALSE),0)&gt;=5,IFERROR(VLOOKUP(AM756,Equip!$A:$N,13,FALSE),0)&lt;=9),INT(VLOOKUP(AM756,Equip!$A:$N,6,FALSE)*SQRT(AQ756)),0)</f>
        <v>0</v>
      </c>
      <c r="AW756">
        <f t="shared" si="1773"/>
        <v>0</v>
      </c>
      <c r="AX756">
        <f t="shared" si="1774"/>
        <v>480</v>
      </c>
    </row>
    <row r="757" spans="1:50">
      <c r="A757">
        <v>742</v>
      </c>
      <c r="B757" t="s">
        <v>1262</v>
      </c>
      <c r="C757" t="s">
        <v>1070</v>
      </c>
      <c r="D757">
        <v>2</v>
      </c>
      <c r="E757">
        <f t="shared" si="1940"/>
        <v>2498</v>
      </c>
      <c r="F757">
        <f t="shared" si="1941"/>
        <v>1353</v>
      </c>
      <c r="G757">
        <f t="shared" si="1942"/>
        <v>742</v>
      </c>
      <c r="H757">
        <f t="shared" si="1943"/>
        <v>2</v>
      </c>
      <c r="I757">
        <f t="shared" si="1944"/>
        <v>5</v>
      </c>
      <c r="J757">
        <f t="shared" si="1945"/>
        <v>2</v>
      </c>
      <c r="K757">
        <v>8</v>
      </c>
      <c r="L757">
        <v>9</v>
      </c>
      <c r="M757">
        <v>86</v>
      </c>
      <c r="N757">
        <v>86</v>
      </c>
      <c r="O757">
        <v>80</v>
      </c>
      <c r="P757">
        <v>79</v>
      </c>
      <c r="Q757">
        <v>0</v>
      </c>
      <c r="R757">
        <v>59</v>
      </c>
      <c r="S757">
        <v>47</v>
      </c>
      <c r="T757">
        <v>0</v>
      </c>
      <c r="U757">
        <f t="shared" si="1946"/>
        <v>5</v>
      </c>
      <c r="V757">
        <v>26</v>
      </c>
      <c r="W757">
        <v>4</v>
      </c>
      <c r="X757">
        <v>15</v>
      </c>
      <c r="Y757">
        <f t="shared" si="1948"/>
        <v>0</v>
      </c>
      <c r="Z757">
        <v>95</v>
      </c>
      <c r="AA757">
        <v>115</v>
      </c>
      <c r="AB757">
        <v>108</v>
      </c>
      <c r="AC757">
        <v>0</v>
      </c>
      <c r="AD757">
        <v>101</v>
      </c>
      <c r="AE757">
        <v>98</v>
      </c>
      <c r="AF757">
        <v>59</v>
      </c>
      <c r="AG757">
        <v>69</v>
      </c>
      <c r="AH757">
        <v>0</v>
      </c>
      <c r="AI757">
        <v>60</v>
      </c>
      <c r="AJ757">
        <v>787</v>
      </c>
      <c r="AK757">
        <v>748</v>
      </c>
      <c r="AL757">
        <v>748</v>
      </c>
      <c r="AM757">
        <v>0</v>
      </c>
      <c r="AN757">
        <v>3</v>
      </c>
      <c r="AO757">
        <v>3</v>
      </c>
      <c r="AP757">
        <v>3</v>
      </c>
      <c r="AQ757">
        <v>3</v>
      </c>
      <c r="AR757">
        <f t="shared" si="1791"/>
        <v>12</v>
      </c>
      <c r="AS757">
        <f>IF(AND(IFERROR(VLOOKUP(AJ757,Equip!$A:$N,13,FALSE),0)&gt;=5,IFERROR(VLOOKUP(AJ757,Equip!$A:$N,13,FALSE),0)&lt;=9),INT(VLOOKUP(AJ757,Equip!$A:$N,6,FALSE)*SQRT(AN757)),0)</f>
        <v>0</v>
      </c>
      <c r="AT757">
        <f>IF(AND(IFERROR(VLOOKUP(AK757,Equip!$A:$N,13,FALSE),0)&gt;=5,IFERROR(VLOOKUP(AK757,Equip!$A:$N,13,FALSE),0)&lt;=9),INT(VLOOKUP(AK757,Equip!$A:$N,6,FALSE)*SQRT(AO757)),0)</f>
        <v>0</v>
      </c>
      <c r="AU757">
        <f>IF(AND(IFERROR(VLOOKUP(AL757,Equip!$A:$N,13,FALSE),0)&gt;=5,IFERROR(VLOOKUP(AL757,Equip!$A:$N,13,FALSE),0)&lt;=9),INT(VLOOKUP(AL757,Equip!$A:$N,6,FALSE)*SQRT(AP757)),0)</f>
        <v>0</v>
      </c>
      <c r="AV757">
        <f>IF(AND(IFERROR(VLOOKUP(AM757,Equip!$A:$N,13,FALSE),0)&gt;=5,IFERROR(VLOOKUP(AM757,Equip!$A:$N,13,FALSE),0)&lt;=9),INT(VLOOKUP(AM757,Equip!$A:$N,6,FALSE)*SQRT(AQ757)),0)</f>
        <v>0</v>
      </c>
      <c r="AW757">
        <f t="shared" si="1773"/>
        <v>0</v>
      </c>
      <c r="AX757">
        <f t="shared" si="1774"/>
        <v>522</v>
      </c>
    </row>
    <row r="758" spans="1:50">
      <c r="A758">
        <v>743</v>
      </c>
      <c r="B758" t="s">
        <v>1071</v>
      </c>
      <c r="C758" t="s">
        <v>1072</v>
      </c>
      <c r="D758">
        <v>0</v>
      </c>
      <c r="E758">
        <v>2504</v>
      </c>
      <c r="F758">
        <v>1378</v>
      </c>
      <c r="G758">
        <v>743</v>
      </c>
      <c r="H758">
        <v>2</v>
      </c>
      <c r="I758">
        <v>6</v>
      </c>
      <c r="J758">
        <v>5</v>
      </c>
      <c r="K758">
        <v>8</v>
      </c>
      <c r="L758">
        <v>10</v>
      </c>
      <c r="M758">
        <v>77</v>
      </c>
      <c r="N758">
        <v>77</v>
      </c>
      <c r="O758">
        <v>80</v>
      </c>
      <c r="P758">
        <v>76</v>
      </c>
      <c r="Q758">
        <v>0</v>
      </c>
      <c r="R758">
        <v>16</v>
      </c>
      <c r="S758">
        <v>35</v>
      </c>
      <c r="T758">
        <v>0</v>
      </c>
      <c r="U758">
        <v>5</v>
      </c>
      <c r="V758">
        <v>12</v>
      </c>
      <c r="W758">
        <v>3</v>
      </c>
      <c r="X758">
        <v>20</v>
      </c>
      <c r="Y758">
        <v>0</v>
      </c>
      <c r="Z758">
        <v>105</v>
      </c>
      <c r="AA758">
        <v>140</v>
      </c>
      <c r="AB758">
        <v>98</v>
      </c>
      <c r="AC758">
        <v>0</v>
      </c>
      <c r="AD758">
        <v>94</v>
      </c>
      <c r="AE758">
        <v>90</v>
      </c>
      <c r="AF758">
        <v>69</v>
      </c>
      <c r="AG758">
        <v>36</v>
      </c>
      <c r="AH758">
        <v>0</v>
      </c>
      <c r="AI758">
        <v>39</v>
      </c>
      <c r="AJ758">
        <v>788</v>
      </c>
      <c r="AK758">
        <v>724</v>
      </c>
      <c r="AL758">
        <v>0</v>
      </c>
      <c r="AM758">
        <v>0</v>
      </c>
      <c r="AN758">
        <v>4</v>
      </c>
      <c r="AO758">
        <v>4</v>
      </c>
      <c r="AP758">
        <v>4</v>
      </c>
      <c r="AQ758">
        <v>4</v>
      </c>
      <c r="AR758">
        <f t="shared" si="1791"/>
        <v>16</v>
      </c>
      <c r="AS758">
        <f>IF(AND(IFERROR(VLOOKUP(AJ758,Equip!$A:$N,13,FALSE),0)&gt;=5,IFERROR(VLOOKUP(AJ758,Equip!$A:$N,13,FALSE),0)&lt;=9),INT(VLOOKUP(AJ758,Equip!$A:$N,6,FALSE)*SQRT(AN758)),0)</f>
        <v>0</v>
      </c>
      <c r="AT758">
        <f>IF(AND(IFERROR(VLOOKUP(AK758,Equip!$A:$N,13,FALSE),0)&gt;=5,IFERROR(VLOOKUP(AK758,Equip!$A:$N,13,FALSE),0)&lt;=9),INT(VLOOKUP(AK758,Equip!$A:$N,6,FALSE)*SQRT(AO758)),0)</f>
        <v>0</v>
      </c>
      <c r="AU758">
        <f>IF(AND(IFERROR(VLOOKUP(AL758,Equip!$A:$N,13,FALSE),0)&gt;=5,IFERROR(VLOOKUP(AL758,Equip!$A:$N,13,FALSE),0)&lt;=9),INT(VLOOKUP(AL758,Equip!$A:$N,6,FALSE)*SQRT(AP758)),0)</f>
        <v>0</v>
      </c>
      <c r="AV758">
        <f>IF(AND(IFERROR(VLOOKUP(AM758,Equip!$A:$N,13,FALSE),0)&gt;=5,IFERROR(VLOOKUP(AM758,Equip!$A:$N,13,FALSE),0)&lt;=9),INT(VLOOKUP(AM758,Equip!$A:$N,6,FALSE)*SQRT(AQ758)),0)</f>
        <v>0</v>
      </c>
      <c r="AW758">
        <f t="shared" si="1773"/>
        <v>0</v>
      </c>
      <c r="AX758">
        <f t="shared" si="1774"/>
        <v>434</v>
      </c>
    </row>
    <row r="759" spans="1:50">
      <c r="A759">
        <v>743</v>
      </c>
      <c r="B759" t="s">
        <v>1071</v>
      </c>
      <c r="C759" t="s">
        <v>1072</v>
      </c>
      <c r="D759">
        <v>1</v>
      </c>
      <c r="E759">
        <f>E758</f>
        <v>2504</v>
      </c>
      <c r="F759">
        <f t="shared" ref="F759" si="1949">F758</f>
        <v>1378</v>
      </c>
      <c r="G759">
        <f t="shared" ref="G759" si="1950">G758</f>
        <v>743</v>
      </c>
      <c r="H759">
        <f t="shared" ref="H759" si="1951">H758</f>
        <v>2</v>
      </c>
      <c r="I759">
        <f t="shared" ref="I759" si="1952">I758</f>
        <v>6</v>
      </c>
      <c r="J759">
        <f t="shared" ref="J759" si="1953">J758</f>
        <v>5</v>
      </c>
      <c r="K759">
        <v>8</v>
      </c>
      <c r="L759">
        <v>10</v>
      </c>
      <c r="M759">
        <v>87</v>
      </c>
      <c r="N759">
        <v>87</v>
      </c>
      <c r="O759">
        <v>85</v>
      </c>
      <c r="P759">
        <v>86</v>
      </c>
      <c r="Q759">
        <v>0</v>
      </c>
      <c r="R759">
        <v>20</v>
      </c>
      <c r="S759">
        <v>62</v>
      </c>
      <c r="T759">
        <v>0</v>
      </c>
      <c r="U759">
        <f t="shared" ref="U759" si="1954">U758</f>
        <v>5</v>
      </c>
      <c r="V759">
        <v>16</v>
      </c>
      <c r="W759">
        <f t="shared" ref="W759" si="1955">W758</f>
        <v>3</v>
      </c>
      <c r="X759">
        <v>22</v>
      </c>
      <c r="Y759">
        <f t="shared" ref="Y759" si="1956">Y758</f>
        <v>0</v>
      </c>
      <c r="Z759">
        <v>110</v>
      </c>
      <c r="AA759">
        <v>170</v>
      </c>
      <c r="AB759">
        <v>97</v>
      </c>
      <c r="AC759">
        <v>0</v>
      </c>
      <c r="AD759">
        <v>114</v>
      </c>
      <c r="AE759">
        <v>99</v>
      </c>
      <c r="AF759">
        <v>79</v>
      </c>
      <c r="AG759">
        <v>56</v>
      </c>
      <c r="AH759">
        <v>0</v>
      </c>
      <c r="AI759">
        <v>49</v>
      </c>
      <c r="AJ759">
        <v>838</v>
      </c>
      <c r="AK759">
        <v>173</v>
      </c>
      <c r="AL759">
        <v>830</v>
      </c>
      <c r="AM759">
        <v>0</v>
      </c>
      <c r="AN759">
        <v>4</v>
      </c>
      <c r="AO759">
        <v>4</v>
      </c>
      <c r="AP759">
        <v>4</v>
      </c>
      <c r="AQ759">
        <v>4</v>
      </c>
      <c r="AR759">
        <f t="shared" si="1791"/>
        <v>16</v>
      </c>
      <c r="AS759">
        <f>IF(AND(IFERROR(VLOOKUP(AJ759,Equip!$A:$N,13,FALSE),0)&gt;=5,IFERROR(VLOOKUP(AJ759,Equip!$A:$N,13,FALSE),0)&lt;=9),INT(VLOOKUP(AJ759,Equip!$A:$N,6,FALSE)*SQRT(AN759)),0)</f>
        <v>0</v>
      </c>
      <c r="AT759">
        <f>IF(AND(IFERROR(VLOOKUP(AK759,Equip!$A:$N,13,FALSE),0)&gt;=5,IFERROR(VLOOKUP(AK759,Equip!$A:$N,13,FALSE),0)&lt;=9),INT(VLOOKUP(AK759,Equip!$A:$N,6,FALSE)*SQRT(AO759)),0)</f>
        <v>0</v>
      </c>
      <c r="AU759">
        <f>IF(AND(IFERROR(VLOOKUP(AL759,Equip!$A:$N,13,FALSE),0)&gt;=5,IFERROR(VLOOKUP(AL759,Equip!$A:$N,13,FALSE),0)&lt;=9),INT(VLOOKUP(AL759,Equip!$A:$N,6,FALSE)*SQRT(AP759)),0)</f>
        <v>0</v>
      </c>
      <c r="AV759">
        <f>IF(AND(IFERROR(VLOOKUP(AM759,Equip!$A:$N,13,FALSE),0)&gt;=5,IFERROR(VLOOKUP(AM759,Equip!$A:$N,13,FALSE),0)&lt;=9),INT(VLOOKUP(AM759,Equip!$A:$N,6,FALSE)*SQRT(AQ759)),0)</f>
        <v>0</v>
      </c>
      <c r="AW759">
        <f t="shared" si="1773"/>
        <v>0</v>
      </c>
      <c r="AX759">
        <f t="shared" si="1774"/>
        <v>502</v>
      </c>
    </row>
    <row r="760" spans="1:50">
      <c r="A760">
        <v>744</v>
      </c>
      <c r="B760" t="s">
        <v>1263</v>
      </c>
      <c r="C760" t="s">
        <v>1073</v>
      </c>
      <c r="D760">
        <v>0</v>
      </c>
      <c r="E760">
        <v>2446</v>
      </c>
      <c r="F760">
        <v>1372</v>
      </c>
      <c r="G760">
        <v>744</v>
      </c>
      <c r="H760">
        <v>2</v>
      </c>
      <c r="I760">
        <v>6</v>
      </c>
      <c r="J760">
        <v>6</v>
      </c>
      <c r="K760">
        <v>8</v>
      </c>
      <c r="L760">
        <v>11</v>
      </c>
      <c r="M760">
        <v>75</v>
      </c>
      <c r="N760">
        <v>75</v>
      </c>
      <c r="O760">
        <v>85</v>
      </c>
      <c r="P760">
        <v>85</v>
      </c>
      <c r="Q760">
        <v>0</v>
      </c>
      <c r="R760">
        <v>24</v>
      </c>
      <c r="S760">
        <v>63</v>
      </c>
      <c r="T760">
        <v>0</v>
      </c>
      <c r="U760">
        <v>5</v>
      </c>
      <c r="V760">
        <v>17</v>
      </c>
      <c r="W760">
        <v>3</v>
      </c>
      <c r="X760">
        <v>13</v>
      </c>
      <c r="Y760">
        <v>0</v>
      </c>
      <c r="Z760">
        <v>140</v>
      </c>
      <c r="AA760">
        <v>170</v>
      </c>
      <c r="AB760">
        <v>105</v>
      </c>
      <c r="AC760">
        <v>0</v>
      </c>
      <c r="AD760">
        <v>100</v>
      </c>
      <c r="AE760">
        <v>100</v>
      </c>
      <c r="AF760">
        <v>49</v>
      </c>
      <c r="AG760">
        <v>44</v>
      </c>
      <c r="AH760">
        <v>0</v>
      </c>
      <c r="AI760">
        <v>44</v>
      </c>
      <c r="AJ760">
        <v>741</v>
      </c>
      <c r="AK760">
        <v>833</v>
      </c>
      <c r="AL760">
        <v>0</v>
      </c>
      <c r="AM760">
        <v>0</v>
      </c>
      <c r="AN760">
        <v>3</v>
      </c>
      <c r="AO760">
        <v>3</v>
      </c>
      <c r="AP760">
        <v>3</v>
      </c>
      <c r="AQ760">
        <v>3</v>
      </c>
      <c r="AR760">
        <f t="shared" si="1791"/>
        <v>12</v>
      </c>
      <c r="AS760">
        <f>IF(AND(IFERROR(VLOOKUP(AJ760,Equip!$A:$N,13,FALSE),0)&gt;=5,IFERROR(VLOOKUP(AJ760,Equip!$A:$N,13,FALSE),0)&lt;=9),INT(VLOOKUP(AJ760,Equip!$A:$N,6,FALSE)*SQRT(AN760)),0)</f>
        <v>0</v>
      </c>
      <c r="AT760">
        <f>IF(AND(IFERROR(VLOOKUP(AK760,Equip!$A:$N,13,FALSE),0)&gt;=5,IFERROR(VLOOKUP(AK760,Equip!$A:$N,13,FALSE),0)&lt;=9),INT(VLOOKUP(AK760,Equip!$A:$N,6,FALSE)*SQRT(AO760)),0)</f>
        <v>0</v>
      </c>
      <c r="AU760">
        <f>IF(AND(IFERROR(VLOOKUP(AL760,Equip!$A:$N,13,FALSE),0)&gt;=5,IFERROR(VLOOKUP(AL760,Equip!$A:$N,13,FALSE),0)&lt;=9),INT(VLOOKUP(AL760,Equip!$A:$N,6,FALSE)*SQRT(AP760)),0)</f>
        <v>0</v>
      </c>
      <c r="AV760">
        <f>IF(AND(IFERROR(VLOOKUP(AM760,Equip!$A:$N,13,FALSE),0)&gt;=5,IFERROR(VLOOKUP(AM760,Equip!$A:$N,13,FALSE),0)&lt;=9),INT(VLOOKUP(AM760,Equip!$A:$N,6,FALSE)*SQRT(AQ760)),0)</f>
        <v>0</v>
      </c>
      <c r="AW760">
        <f t="shared" si="1773"/>
        <v>0</v>
      </c>
      <c r="AX760">
        <f t="shared" si="1774"/>
        <v>468</v>
      </c>
    </row>
    <row r="761" spans="1:50">
      <c r="A761">
        <v>744</v>
      </c>
      <c r="B761" t="s">
        <v>1263</v>
      </c>
      <c r="C761" t="s">
        <v>1073</v>
      </c>
      <c r="D761">
        <v>1</v>
      </c>
      <c r="E761">
        <f>E760</f>
        <v>2446</v>
      </c>
      <c r="F761">
        <f t="shared" ref="F761" si="1957">F760</f>
        <v>1372</v>
      </c>
      <c r="G761">
        <f t="shared" ref="G761" si="1958">G760</f>
        <v>744</v>
      </c>
      <c r="H761">
        <f t="shared" ref="H761" si="1959">H760</f>
        <v>2</v>
      </c>
      <c r="I761">
        <f t="shared" ref="I761" si="1960">I760</f>
        <v>6</v>
      </c>
      <c r="J761">
        <f t="shared" ref="J761" si="1961">J760</f>
        <v>6</v>
      </c>
      <c r="K761">
        <v>8</v>
      </c>
      <c r="L761">
        <v>11</v>
      </c>
      <c r="M761">
        <v>85</v>
      </c>
      <c r="N761">
        <v>85</v>
      </c>
      <c r="O761">
        <v>93</v>
      </c>
      <c r="P761">
        <v>97</v>
      </c>
      <c r="Q761">
        <v>0</v>
      </c>
      <c r="R761">
        <v>28</v>
      </c>
      <c r="S761">
        <v>75</v>
      </c>
      <c r="T761">
        <v>0</v>
      </c>
      <c r="U761">
        <f t="shared" ref="U761" si="1962">U760</f>
        <v>5</v>
      </c>
      <c r="V761">
        <v>21</v>
      </c>
      <c r="W761">
        <f t="shared" ref="W761" si="1963">W760</f>
        <v>3</v>
      </c>
      <c r="X761">
        <v>15</v>
      </c>
      <c r="Y761">
        <f t="shared" ref="Y761" si="1964">Y760</f>
        <v>0</v>
      </c>
      <c r="Z761">
        <v>165</v>
      </c>
      <c r="AA761">
        <v>200</v>
      </c>
      <c r="AB761">
        <v>113</v>
      </c>
      <c r="AC761">
        <v>0</v>
      </c>
      <c r="AD761">
        <v>120</v>
      </c>
      <c r="AE761">
        <v>110</v>
      </c>
      <c r="AF761">
        <v>59</v>
      </c>
      <c r="AG761">
        <v>64</v>
      </c>
      <c r="AH761">
        <v>0</v>
      </c>
      <c r="AI761">
        <v>54</v>
      </c>
      <c r="AJ761">
        <v>741</v>
      </c>
      <c r="AK761">
        <v>173</v>
      </c>
      <c r="AL761">
        <v>171</v>
      </c>
      <c r="AM761">
        <v>0</v>
      </c>
      <c r="AN761">
        <v>3</v>
      </c>
      <c r="AO761">
        <v>3</v>
      </c>
      <c r="AP761">
        <v>3</v>
      </c>
      <c r="AQ761">
        <v>3</v>
      </c>
      <c r="AR761">
        <f t="shared" si="1791"/>
        <v>12</v>
      </c>
      <c r="AS761">
        <f>IF(AND(IFERROR(VLOOKUP(AJ761,Equip!$A:$N,13,FALSE),0)&gt;=5,IFERROR(VLOOKUP(AJ761,Equip!$A:$N,13,FALSE),0)&lt;=9),INT(VLOOKUP(AJ761,Equip!$A:$N,6,FALSE)*SQRT(AN761)),0)</f>
        <v>0</v>
      </c>
      <c r="AT761">
        <f>IF(AND(IFERROR(VLOOKUP(AK761,Equip!$A:$N,13,FALSE),0)&gt;=5,IFERROR(VLOOKUP(AK761,Equip!$A:$N,13,FALSE),0)&lt;=9),INT(VLOOKUP(AK761,Equip!$A:$N,6,FALSE)*SQRT(AO761)),0)</f>
        <v>0</v>
      </c>
      <c r="AU761">
        <f>IF(AND(IFERROR(VLOOKUP(AL761,Equip!$A:$N,13,FALSE),0)&gt;=5,IFERROR(VLOOKUP(AL761,Equip!$A:$N,13,FALSE),0)&lt;=9),INT(VLOOKUP(AL761,Equip!$A:$N,6,FALSE)*SQRT(AP761)),0)</f>
        <v>0</v>
      </c>
      <c r="AV761">
        <f>IF(AND(IFERROR(VLOOKUP(AM761,Equip!$A:$N,13,FALSE),0)&gt;=5,IFERROR(VLOOKUP(AM761,Equip!$A:$N,13,FALSE),0)&lt;=9),INT(VLOOKUP(AM761,Equip!$A:$N,6,FALSE)*SQRT(AQ761)),0)</f>
        <v>0</v>
      </c>
      <c r="AW761">
        <f t="shared" si="1773"/>
        <v>0</v>
      </c>
      <c r="AX761">
        <f t="shared" si="1774"/>
        <v>546</v>
      </c>
    </row>
    <row r="762" spans="1:50">
      <c r="A762">
        <v>745</v>
      </c>
      <c r="B762" t="s">
        <v>1074</v>
      </c>
      <c r="C762" t="s">
        <v>1075</v>
      </c>
      <c r="D762">
        <v>0</v>
      </c>
      <c r="E762">
        <v>1398</v>
      </c>
      <c r="F762">
        <v>802</v>
      </c>
      <c r="G762">
        <v>745</v>
      </c>
      <c r="H762">
        <v>1</v>
      </c>
      <c r="I762">
        <v>2</v>
      </c>
      <c r="J762">
        <v>3</v>
      </c>
      <c r="K762">
        <v>1</v>
      </c>
      <c r="L762">
        <v>1</v>
      </c>
      <c r="M762">
        <v>20</v>
      </c>
      <c r="N762">
        <v>20</v>
      </c>
      <c r="O762">
        <v>11</v>
      </c>
      <c r="P762">
        <v>10</v>
      </c>
      <c r="Q762">
        <v>24</v>
      </c>
      <c r="R762">
        <v>37</v>
      </c>
      <c r="S762">
        <v>13</v>
      </c>
      <c r="T762">
        <v>32</v>
      </c>
      <c r="U762">
        <v>10</v>
      </c>
      <c r="V762">
        <v>6</v>
      </c>
      <c r="W762">
        <v>1</v>
      </c>
      <c r="X762">
        <v>7</v>
      </c>
      <c r="Y762">
        <v>0</v>
      </c>
      <c r="Z762">
        <v>20</v>
      </c>
      <c r="AA762">
        <v>20</v>
      </c>
      <c r="AB762">
        <v>29</v>
      </c>
      <c r="AC762">
        <v>60</v>
      </c>
      <c r="AD762">
        <v>43</v>
      </c>
      <c r="AE762">
        <v>24</v>
      </c>
      <c r="AF762">
        <v>49</v>
      </c>
      <c r="AG762">
        <v>77</v>
      </c>
      <c r="AH762">
        <v>64</v>
      </c>
      <c r="AI762">
        <v>24</v>
      </c>
      <c r="AJ762">
        <v>78</v>
      </c>
      <c r="AK762">
        <v>0</v>
      </c>
      <c r="AL762">
        <v>0</v>
      </c>
      <c r="AM762">
        <v>-1</v>
      </c>
      <c r="AN762">
        <v>0</v>
      </c>
      <c r="AO762">
        <v>0</v>
      </c>
      <c r="AP762">
        <v>0</v>
      </c>
      <c r="AQ762">
        <v>0</v>
      </c>
      <c r="AR762">
        <f t="shared" si="1791"/>
        <v>0</v>
      </c>
      <c r="AS762">
        <f>IF(AND(IFERROR(VLOOKUP(AJ762,Equip!$A:$N,13,FALSE),0)&gt;=5,IFERROR(VLOOKUP(AJ762,Equip!$A:$N,13,FALSE),0)&lt;=9),INT(VLOOKUP(AJ762,Equip!$A:$N,6,FALSE)*SQRT(AN762)),0)</f>
        <v>0</v>
      </c>
      <c r="AT762">
        <f>IF(AND(IFERROR(VLOOKUP(AK762,Equip!$A:$N,13,FALSE),0)&gt;=5,IFERROR(VLOOKUP(AK762,Equip!$A:$N,13,FALSE),0)&lt;=9),INT(VLOOKUP(AK762,Equip!$A:$N,6,FALSE)*SQRT(AO762)),0)</f>
        <v>0</v>
      </c>
      <c r="AU762">
        <f>IF(AND(IFERROR(VLOOKUP(AL762,Equip!$A:$N,13,FALSE),0)&gt;=5,IFERROR(VLOOKUP(AL762,Equip!$A:$N,13,FALSE),0)&lt;=9),INT(VLOOKUP(AL762,Equip!$A:$N,6,FALSE)*SQRT(AP762)),0)</f>
        <v>0</v>
      </c>
      <c r="AV762">
        <f>IF(AND(IFERROR(VLOOKUP(AM762,Equip!$A:$N,13,FALSE),0)&gt;=5,IFERROR(VLOOKUP(AM762,Equip!$A:$N,13,FALSE),0)&lt;=9),INT(VLOOKUP(AM762,Equip!$A:$N,6,FALSE)*SQRT(AQ762)),0)</f>
        <v>0</v>
      </c>
      <c r="AW762">
        <f t="shared" si="1773"/>
        <v>0</v>
      </c>
      <c r="AX762">
        <f t="shared" si="1774"/>
        <v>341</v>
      </c>
    </row>
    <row r="763" spans="1:50">
      <c r="A763">
        <v>745</v>
      </c>
      <c r="B763" t="s">
        <v>1074</v>
      </c>
      <c r="C763" t="s">
        <v>1075</v>
      </c>
      <c r="D763">
        <v>1</v>
      </c>
      <c r="E763">
        <f t="shared" ref="E763:E764" si="1965">E762</f>
        <v>1398</v>
      </c>
      <c r="F763">
        <f t="shared" ref="F763:F764" si="1966">F762</f>
        <v>802</v>
      </c>
      <c r="G763">
        <f t="shared" ref="G763:G764" si="1967">G762</f>
        <v>745</v>
      </c>
      <c r="H763">
        <f t="shared" ref="H763:H764" si="1968">H762</f>
        <v>1</v>
      </c>
      <c r="I763">
        <f t="shared" ref="I763:I764" si="1969">I762</f>
        <v>2</v>
      </c>
      <c r="J763">
        <f t="shared" ref="J763:J764" si="1970">J762</f>
        <v>3</v>
      </c>
      <c r="K763">
        <v>1</v>
      </c>
      <c r="L763">
        <v>1</v>
      </c>
      <c r="M763">
        <v>36</v>
      </c>
      <c r="N763">
        <v>36</v>
      </c>
      <c r="O763">
        <v>17</v>
      </c>
      <c r="P763">
        <v>20</v>
      </c>
      <c r="Q763">
        <v>31</v>
      </c>
      <c r="R763">
        <v>52</v>
      </c>
      <c r="S763">
        <v>21</v>
      </c>
      <c r="T763">
        <v>46</v>
      </c>
      <c r="U763">
        <f t="shared" ref="U763:U764" si="1971">U762</f>
        <v>10</v>
      </c>
      <c r="V763">
        <v>16</v>
      </c>
      <c r="W763">
        <f t="shared" ref="W763:W764" si="1972">W762</f>
        <v>1</v>
      </c>
      <c r="X763">
        <v>10</v>
      </c>
      <c r="Y763">
        <f t="shared" ref="Y763:Y764" si="1973">Y762</f>
        <v>0</v>
      </c>
      <c r="Z763">
        <v>20</v>
      </c>
      <c r="AA763">
        <v>25</v>
      </c>
      <c r="AB763">
        <v>46</v>
      </c>
      <c r="AC763">
        <v>70</v>
      </c>
      <c r="AD763">
        <v>47</v>
      </c>
      <c r="AE763">
        <v>46</v>
      </c>
      <c r="AF763">
        <v>49</v>
      </c>
      <c r="AG763">
        <v>79</v>
      </c>
      <c r="AH763">
        <v>69</v>
      </c>
      <c r="AI763">
        <v>40</v>
      </c>
      <c r="AJ763">
        <v>720</v>
      </c>
      <c r="AK763">
        <v>779</v>
      </c>
      <c r="AL763">
        <v>0</v>
      </c>
      <c r="AM763">
        <v>-1</v>
      </c>
      <c r="AN763">
        <v>0</v>
      </c>
      <c r="AO763">
        <v>0</v>
      </c>
      <c r="AP763">
        <v>0</v>
      </c>
      <c r="AQ763">
        <v>0</v>
      </c>
      <c r="AR763">
        <f t="shared" si="1791"/>
        <v>0</v>
      </c>
      <c r="AS763">
        <f>IF(AND(IFERROR(VLOOKUP(AJ763,Equip!$A:$N,13,FALSE),0)&gt;=5,IFERROR(VLOOKUP(AJ763,Equip!$A:$N,13,FALSE),0)&lt;=9),INT(VLOOKUP(AJ763,Equip!$A:$N,6,FALSE)*SQRT(AN763)),0)</f>
        <v>0</v>
      </c>
      <c r="AT763">
        <f>IF(AND(IFERROR(VLOOKUP(AK763,Equip!$A:$N,13,FALSE),0)&gt;=5,IFERROR(VLOOKUP(AK763,Equip!$A:$N,13,FALSE),0)&lt;=9),INT(VLOOKUP(AK763,Equip!$A:$N,6,FALSE)*SQRT(AO763)),0)</f>
        <v>0</v>
      </c>
      <c r="AU763">
        <f>IF(AND(IFERROR(VLOOKUP(AL763,Equip!$A:$N,13,FALSE),0)&gt;=5,IFERROR(VLOOKUP(AL763,Equip!$A:$N,13,FALSE),0)&lt;=9),INT(VLOOKUP(AL763,Equip!$A:$N,6,FALSE)*SQRT(AP763)),0)</f>
        <v>0</v>
      </c>
      <c r="AV763">
        <f>IF(AND(IFERROR(VLOOKUP(AM763,Equip!$A:$N,13,FALSE),0)&gt;=5,IFERROR(VLOOKUP(AM763,Equip!$A:$N,13,FALSE),0)&lt;=9),INT(VLOOKUP(AM763,Equip!$A:$N,6,FALSE)*SQRT(AQ763)),0)</f>
        <v>0</v>
      </c>
      <c r="AW763">
        <f t="shared" si="1773"/>
        <v>0</v>
      </c>
      <c r="AX763">
        <f t="shared" si="1774"/>
        <v>433</v>
      </c>
    </row>
    <row r="764" spans="1:50">
      <c r="A764">
        <v>745</v>
      </c>
      <c r="B764" t="s">
        <v>1074</v>
      </c>
      <c r="C764" t="s">
        <v>1075</v>
      </c>
      <c r="D764">
        <v>2</v>
      </c>
      <c r="E764">
        <f t="shared" si="1965"/>
        <v>1398</v>
      </c>
      <c r="F764">
        <f t="shared" si="1966"/>
        <v>802</v>
      </c>
      <c r="G764">
        <f t="shared" si="1967"/>
        <v>745</v>
      </c>
      <c r="H764">
        <f t="shared" si="1968"/>
        <v>1</v>
      </c>
      <c r="I764">
        <f t="shared" si="1969"/>
        <v>2</v>
      </c>
      <c r="J764">
        <f t="shared" si="1970"/>
        <v>3</v>
      </c>
      <c r="K764">
        <v>1</v>
      </c>
      <c r="L764">
        <v>1</v>
      </c>
      <c r="M764">
        <v>38</v>
      </c>
      <c r="N764">
        <v>38</v>
      </c>
      <c r="O764">
        <v>24</v>
      </c>
      <c r="P764">
        <v>29</v>
      </c>
      <c r="Q764">
        <v>52</v>
      </c>
      <c r="R764">
        <v>71</v>
      </c>
      <c r="S764">
        <v>33</v>
      </c>
      <c r="T764">
        <v>58</v>
      </c>
      <c r="U764">
        <f t="shared" si="1971"/>
        <v>10</v>
      </c>
      <c r="V764">
        <v>33</v>
      </c>
      <c r="W764">
        <f t="shared" si="1972"/>
        <v>1</v>
      </c>
      <c r="X764">
        <v>12</v>
      </c>
      <c r="Y764">
        <f t="shared" si="1973"/>
        <v>0</v>
      </c>
      <c r="Z764">
        <v>20</v>
      </c>
      <c r="AA764">
        <v>25</v>
      </c>
      <c r="AB764">
        <v>50</v>
      </c>
      <c r="AC764">
        <v>71</v>
      </c>
      <c r="AD764">
        <v>66</v>
      </c>
      <c r="AE764">
        <v>54</v>
      </c>
      <c r="AF764">
        <v>59</v>
      </c>
      <c r="AG764">
        <v>84</v>
      </c>
      <c r="AH764">
        <v>69</v>
      </c>
      <c r="AI764">
        <v>41</v>
      </c>
      <c r="AJ764">
        <v>720</v>
      </c>
      <c r="AK764">
        <v>779</v>
      </c>
      <c r="AL764">
        <v>84</v>
      </c>
      <c r="AM764">
        <v>-1</v>
      </c>
      <c r="AN764">
        <v>0</v>
      </c>
      <c r="AO764">
        <v>0</v>
      </c>
      <c r="AP764">
        <v>0</v>
      </c>
      <c r="AQ764">
        <v>0</v>
      </c>
      <c r="AR764">
        <f t="shared" si="1791"/>
        <v>0</v>
      </c>
      <c r="AS764">
        <f>IF(AND(IFERROR(VLOOKUP(AJ764,Equip!$A:$N,13,FALSE),0)&gt;=5,IFERROR(VLOOKUP(AJ764,Equip!$A:$N,13,FALSE),0)&lt;=9),INT(VLOOKUP(AJ764,Equip!$A:$N,6,FALSE)*SQRT(AN764)),0)</f>
        <v>0</v>
      </c>
      <c r="AT764">
        <f>IF(AND(IFERROR(VLOOKUP(AK764,Equip!$A:$N,13,FALSE),0)&gt;=5,IFERROR(VLOOKUP(AK764,Equip!$A:$N,13,FALSE),0)&lt;=9),INT(VLOOKUP(AK764,Equip!$A:$N,6,FALSE)*SQRT(AO764)),0)</f>
        <v>0</v>
      </c>
      <c r="AU764">
        <f>IF(AND(IFERROR(VLOOKUP(AL764,Equip!$A:$N,13,FALSE),0)&gt;=5,IFERROR(VLOOKUP(AL764,Equip!$A:$N,13,FALSE),0)&lt;=9),INT(VLOOKUP(AL764,Equip!$A:$N,6,FALSE)*SQRT(AP764)),0)</f>
        <v>0</v>
      </c>
      <c r="AV764">
        <f>IF(AND(IFERROR(VLOOKUP(AM764,Equip!$A:$N,13,FALSE),0)&gt;=5,IFERROR(VLOOKUP(AM764,Equip!$A:$N,13,FALSE),0)&lt;=9),INT(VLOOKUP(AM764,Equip!$A:$N,6,FALSE)*SQRT(AQ764)),0)</f>
        <v>0</v>
      </c>
      <c r="AW764">
        <f t="shared" si="1773"/>
        <v>0</v>
      </c>
      <c r="AX764">
        <f t="shared" si="1774"/>
        <v>473</v>
      </c>
    </row>
    <row r="765" spans="1:50">
      <c r="A765">
        <v>746</v>
      </c>
      <c r="B765" t="s">
        <v>1076</v>
      </c>
      <c r="C765" t="s">
        <v>1077</v>
      </c>
      <c r="D765">
        <v>0</v>
      </c>
      <c r="E765">
        <v>1392</v>
      </c>
      <c r="F765">
        <v>798</v>
      </c>
      <c r="G765">
        <v>746</v>
      </c>
      <c r="H765">
        <v>1</v>
      </c>
      <c r="I765">
        <v>2</v>
      </c>
      <c r="J765">
        <v>4</v>
      </c>
      <c r="K765">
        <v>1</v>
      </c>
      <c r="L765">
        <v>1</v>
      </c>
      <c r="M765">
        <v>20</v>
      </c>
      <c r="N765">
        <v>20</v>
      </c>
      <c r="O765">
        <v>11</v>
      </c>
      <c r="P765">
        <v>10</v>
      </c>
      <c r="Q765">
        <v>24</v>
      </c>
      <c r="R765">
        <v>37</v>
      </c>
      <c r="S765">
        <v>13</v>
      </c>
      <c r="T765">
        <v>32</v>
      </c>
      <c r="U765">
        <v>10</v>
      </c>
      <c r="V765">
        <v>6</v>
      </c>
      <c r="W765">
        <v>1</v>
      </c>
      <c r="X765">
        <v>7</v>
      </c>
      <c r="Y765">
        <v>0</v>
      </c>
      <c r="Z765">
        <v>20</v>
      </c>
      <c r="AA765">
        <v>20</v>
      </c>
      <c r="AB765">
        <v>29</v>
      </c>
      <c r="AC765">
        <v>60</v>
      </c>
      <c r="AD765">
        <v>43</v>
      </c>
      <c r="AE765">
        <v>24</v>
      </c>
      <c r="AF765">
        <v>49</v>
      </c>
      <c r="AG765">
        <v>77</v>
      </c>
      <c r="AH765">
        <v>64</v>
      </c>
      <c r="AI765">
        <v>24</v>
      </c>
      <c r="AJ765">
        <v>78</v>
      </c>
      <c r="AK765">
        <v>0</v>
      </c>
      <c r="AL765">
        <v>0</v>
      </c>
      <c r="AM765">
        <v>-1</v>
      </c>
      <c r="AN765">
        <v>0</v>
      </c>
      <c r="AO765">
        <v>0</v>
      </c>
      <c r="AP765">
        <v>0</v>
      </c>
      <c r="AQ765">
        <v>0</v>
      </c>
      <c r="AR765">
        <f t="shared" si="1791"/>
        <v>0</v>
      </c>
      <c r="AS765">
        <f>IF(AND(IFERROR(VLOOKUP(AJ765,Equip!$A:$N,13,FALSE),0)&gt;=5,IFERROR(VLOOKUP(AJ765,Equip!$A:$N,13,FALSE),0)&lt;=9),INT(VLOOKUP(AJ765,Equip!$A:$N,6,FALSE)*SQRT(AN765)),0)</f>
        <v>0</v>
      </c>
      <c r="AT765">
        <f>IF(AND(IFERROR(VLOOKUP(AK765,Equip!$A:$N,13,FALSE),0)&gt;=5,IFERROR(VLOOKUP(AK765,Equip!$A:$N,13,FALSE),0)&lt;=9),INT(VLOOKUP(AK765,Equip!$A:$N,6,FALSE)*SQRT(AO765)),0)</f>
        <v>0</v>
      </c>
      <c r="AU765">
        <f>IF(AND(IFERROR(VLOOKUP(AL765,Equip!$A:$N,13,FALSE),0)&gt;=5,IFERROR(VLOOKUP(AL765,Equip!$A:$N,13,FALSE),0)&lt;=9),INT(VLOOKUP(AL765,Equip!$A:$N,6,FALSE)*SQRT(AP765)),0)</f>
        <v>0</v>
      </c>
      <c r="AV765">
        <f>IF(AND(IFERROR(VLOOKUP(AM765,Equip!$A:$N,13,FALSE),0)&gt;=5,IFERROR(VLOOKUP(AM765,Equip!$A:$N,13,FALSE),0)&lt;=9),INT(VLOOKUP(AM765,Equip!$A:$N,6,FALSE)*SQRT(AQ765)),0)</f>
        <v>0</v>
      </c>
      <c r="AW765">
        <f t="shared" si="1773"/>
        <v>0</v>
      </c>
      <c r="AX765">
        <f t="shared" si="1774"/>
        <v>341</v>
      </c>
    </row>
    <row r="766" spans="1:50">
      <c r="A766">
        <v>746</v>
      </c>
      <c r="B766" t="s">
        <v>1076</v>
      </c>
      <c r="C766" t="s">
        <v>1077</v>
      </c>
      <c r="D766">
        <v>1</v>
      </c>
      <c r="E766">
        <f t="shared" ref="E766:E767" si="1974">E765</f>
        <v>1392</v>
      </c>
      <c r="F766">
        <f t="shared" ref="F766:F767" si="1975">F765</f>
        <v>798</v>
      </c>
      <c r="G766">
        <f t="shared" ref="G766:G767" si="1976">G765</f>
        <v>746</v>
      </c>
      <c r="H766">
        <f t="shared" ref="H766:H767" si="1977">H765</f>
        <v>1</v>
      </c>
      <c r="I766">
        <f t="shared" ref="I766:I767" si="1978">I765</f>
        <v>2</v>
      </c>
      <c r="J766">
        <f t="shared" ref="J766:J767" si="1979">J765</f>
        <v>4</v>
      </c>
      <c r="K766">
        <v>1</v>
      </c>
      <c r="L766">
        <v>1</v>
      </c>
      <c r="M766">
        <v>36</v>
      </c>
      <c r="N766">
        <v>36</v>
      </c>
      <c r="O766">
        <v>17</v>
      </c>
      <c r="P766">
        <v>20</v>
      </c>
      <c r="Q766">
        <v>31</v>
      </c>
      <c r="R766">
        <v>52</v>
      </c>
      <c r="S766">
        <v>21</v>
      </c>
      <c r="T766">
        <v>46</v>
      </c>
      <c r="U766">
        <f t="shared" ref="U766:U767" si="1980">U765</f>
        <v>10</v>
      </c>
      <c r="V766">
        <v>16</v>
      </c>
      <c r="W766">
        <f t="shared" ref="W766:W767" si="1981">W765</f>
        <v>1</v>
      </c>
      <c r="X766">
        <v>10</v>
      </c>
      <c r="Y766">
        <f t="shared" ref="Y766:Y767" si="1982">Y765</f>
        <v>0</v>
      </c>
      <c r="Z766">
        <v>20</v>
      </c>
      <c r="AA766">
        <v>25</v>
      </c>
      <c r="AB766">
        <v>46</v>
      </c>
      <c r="AC766">
        <v>70</v>
      </c>
      <c r="AD766">
        <v>47</v>
      </c>
      <c r="AE766">
        <v>46</v>
      </c>
      <c r="AF766">
        <v>49</v>
      </c>
      <c r="AG766">
        <v>79</v>
      </c>
      <c r="AH766">
        <v>69</v>
      </c>
      <c r="AI766">
        <v>40</v>
      </c>
      <c r="AJ766">
        <v>720</v>
      </c>
      <c r="AK766">
        <v>779</v>
      </c>
      <c r="AL766">
        <v>0</v>
      </c>
      <c r="AM766">
        <v>-1</v>
      </c>
      <c r="AN766">
        <v>0</v>
      </c>
      <c r="AO766">
        <v>0</v>
      </c>
      <c r="AP766">
        <v>0</v>
      </c>
      <c r="AQ766">
        <v>0</v>
      </c>
      <c r="AR766">
        <f t="shared" si="1791"/>
        <v>0</v>
      </c>
      <c r="AS766">
        <f>IF(AND(IFERROR(VLOOKUP(AJ766,Equip!$A:$N,13,FALSE),0)&gt;=5,IFERROR(VLOOKUP(AJ766,Equip!$A:$N,13,FALSE),0)&lt;=9),INT(VLOOKUP(AJ766,Equip!$A:$N,6,FALSE)*SQRT(AN766)),0)</f>
        <v>0</v>
      </c>
      <c r="AT766">
        <f>IF(AND(IFERROR(VLOOKUP(AK766,Equip!$A:$N,13,FALSE),0)&gt;=5,IFERROR(VLOOKUP(AK766,Equip!$A:$N,13,FALSE),0)&lt;=9),INT(VLOOKUP(AK766,Equip!$A:$N,6,FALSE)*SQRT(AO766)),0)</f>
        <v>0</v>
      </c>
      <c r="AU766">
        <f>IF(AND(IFERROR(VLOOKUP(AL766,Equip!$A:$N,13,FALSE),0)&gt;=5,IFERROR(VLOOKUP(AL766,Equip!$A:$N,13,FALSE),0)&lt;=9),INT(VLOOKUP(AL766,Equip!$A:$N,6,FALSE)*SQRT(AP766)),0)</f>
        <v>0</v>
      </c>
      <c r="AV766">
        <f>IF(AND(IFERROR(VLOOKUP(AM766,Equip!$A:$N,13,FALSE),0)&gt;=5,IFERROR(VLOOKUP(AM766,Equip!$A:$N,13,FALSE),0)&lt;=9),INT(VLOOKUP(AM766,Equip!$A:$N,6,FALSE)*SQRT(AQ766)),0)</f>
        <v>0</v>
      </c>
      <c r="AW766">
        <f t="shared" si="1773"/>
        <v>0</v>
      </c>
      <c r="AX766">
        <f t="shared" si="1774"/>
        <v>433</v>
      </c>
    </row>
    <row r="767" spans="1:50">
      <c r="A767">
        <v>746</v>
      </c>
      <c r="B767" t="s">
        <v>1076</v>
      </c>
      <c r="C767" t="s">
        <v>1077</v>
      </c>
      <c r="D767">
        <v>2</v>
      </c>
      <c r="E767">
        <f t="shared" si="1974"/>
        <v>1392</v>
      </c>
      <c r="F767">
        <f t="shared" si="1975"/>
        <v>798</v>
      </c>
      <c r="G767">
        <f t="shared" si="1976"/>
        <v>746</v>
      </c>
      <c r="H767">
        <f t="shared" si="1977"/>
        <v>1</v>
      </c>
      <c r="I767">
        <f t="shared" si="1978"/>
        <v>2</v>
      </c>
      <c r="J767">
        <f t="shared" si="1979"/>
        <v>4</v>
      </c>
      <c r="K767">
        <v>1</v>
      </c>
      <c r="L767">
        <v>1</v>
      </c>
      <c r="M767">
        <v>38</v>
      </c>
      <c r="N767">
        <v>38</v>
      </c>
      <c r="O767">
        <v>23</v>
      </c>
      <c r="P767">
        <v>29</v>
      </c>
      <c r="Q767">
        <v>53</v>
      </c>
      <c r="R767">
        <v>71</v>
      </c>
      <c r="S767">
        <v>33</v>
      </c>
      <c r="T767">
        <v>57</v>
      </c>
      <c r="U767">
        <f t="shared" si="1980"/>
        <v>10</v>
      </c>
      <c r="V767">
        <v>34</v>
      </c>
      <c r="W767">
        <f t="shared" si="1981"/>
        <v>1</v>
      </c>
      <c r="X767">
        <v>12</v>
      </c>
      <c r="Y767">
        <f t="shared" si="1982"/>
        <v>0</v>
      </c>
      <c r="Z767">
        <v>20</v>
      </c>
      <c r="AA767">
        <v>25</v>
      </c>
      <c r="AB767">
        <v>49</v>
      </c>
      <c r="AC767">
        <v>72</v>
      </c>
      <c r="AD767">
        <v>66</v>
      </c>
      <c r="AE767">
        <v>54</v>
      </c>
      <c r="AF767">
        <v>59</v>
      </c>
      <c r="AG767">
        <v>84</v>
      </c>
      <c r="AH767">
        <v>68</v>
      </c>
      <c r="AI767">
        <v>42</v>
      </c>
      <c r="AJ767">
        <v>720</v>
      </c>
      <c r="AK767">
        <v>779</v>
      </c>
      <c r="AL767">
        <v>84</v>
      </c>
      <c r="AM767">
        <v>-1</v>
      </c>
      <c r="AN767">
        <v>0</v>
      </c>
      <c r="AO767">
        <v>0</v>
      </c>
      <c r="AP767">
        <v>0</v>
      </c>
      <c r="AQ767">
        <v>0</v>
      </c>
      <c r="AR767">
        <f t="shared" si="1791"/>
        <v>0</v>
      </c>
      <c r="AS767">
        <f>IF(AND(IFERROR(VLOOKUP(AJ767,Equip!$A:$N,13,FALSE),0)&gt;=5,IFERROR(VLOOKUP(AJ767,Equip!$A:$N,13,FALSE),0)&lt;=9),INT(VLOOKUP(AJ767,Equip!$A:$N,6,FALSE)*SQRT(AN767)),0)</f>
        <v>0</v>
      </c>
      <c r="AT767">
        <f>IF(AND(IFERROR(VLOOKUP(AK767,Equip!$A:$N,13,FALSE),0)&gt;=5,IFERROR(VLOOKUP(AK767,Equip!$A:$N,13,FALSE),0)&lt;=9),INT(VLOOKUP(AK767,Equip!$A:$N,6,FALSE)*SQRT(AO767)),0)</f>
        <v>0</v>
      </c>
      <c r="AU767">
        <f>IF(AND(IFERROR(VLOOKUP(AL767,Equip!$A:$N,13,FALSE),0)&gt;=5,IFERROR(VLOOKUP(AL767,Equip!$A:$N,13,FALSE),0)&lt;=9),INT(VLOOKUP(AL767,Equip!$A:$N,6,FALSE)*SQRT(AP767)),0)</f>
        <v>0</v>
      </c>
      <c r="AV767">
        <f>IF(AND(IFERROR(VLOOKUP(AM767,Equip!$A:$N,13,FALSE),0)&gt;=5,IFERROR(VLOOKUP(AM767,Equip!$A:$N,13,FALSE),0)&lt;=9),INT(VLOOKUP(AM767,Equip!$A:$N,6,FALSE)*SQRT(AQ767)),0)</f>
        <v>0</v>
      </c>
      <c r="AW767">
        <f t="shared" si="1773"/>
        <v>0</v>
      </c>
      <c r="AX767">
        <f t="shared" si="1774"/>
        <v>473</v>
      </c>
    </row>
    <row r="768" spans="1:50">
      <c r="A768">
        <v>747</v>
      </c>
      <c r="B768" t="s">
        <v>1078</v>
      </c>
      <c r="C768" t="s">
        <v>1079</v>
      </c>
      <c r="D768">
        <v>0</v>
      </c>
      <c r="E768">
        <v>2089</v>
      </c>
      <c r="F768">
        <v>1098</v>
      </c>
      <c r="G768">
        <v>747</v>
      </c>
      <c r="H768">
        <v>1</v>
      </c>
      <c r="I768">
        <v>6</v>
      </c>
      <c r="J768">
        <v>7</v>
      </c>
      <c r="K768">
        <v>3</v>
      </c>
      <c r="L768">
        <v>4</v>
      </c>
      <c r="M768">
        <v>45</v>
      </c>
      <c r="N768">
        <v>45</v>
      </c>
      <c r="O768">
        <v>38</v>
      </c>
      <c r="P768">
        <v>31</v>
      </c>
      <c r="Q768">
        <v>0</v>
      </c>
      <c r="R768">
        <v>31</v>
      </c>
      <c r="S768">
        <v>38</v>
      </c>
      <c r="T768">
        <v>0</v>
      </c>
      <c r="U768">
        <v>10</v>
      </c>
      <c r="V768">
        <v>16</v>
      </c>
      <c r="W768">
        <v>2</v>
      </c>
      <c r="X768">
        <v>12</v>
      </c>
      <c r="Y768">
        <v>0</v>
      </c>
      <c r="Z768">
        <v>40</v>
      </c>
      <c r="AA768">
        <v>70</v>
      </c>
      <c r="AB768">
        <v>63</v>
      </c>
      <c r="AC768">
        <v>22</v>
      </c>
      <c r="AD768">
        <v>65</v>
      </c>
      <c r="AE768">
        <v>50</v>
      </c>
      <c r="AF768">
        <v>49</v>
      </c>
      <c r="AG768">
        <v>71</v>
      </c>
      <c r="AH768">
        <v>0</v>
      </c>
      <c r="AI768">
        <v>50</v>
      </c>
      <c r="AJ768">
        <v>732</v>
      </c>
      <c r="AK768">
        <v>752</v>
      </c>
      <c r="AL768">
        <v>0</v>
      </c>
      <c r="AM768">
        <v>-1</v>
      </c>
      <c r="AN768">
        <v>2</v>
      </c>
      <c r="AO768">
        <v>2</v>
      </c>
      <c r="AP768">
        <v>2</v>
      </c>
      <c r="AQ768">
        <v>0</v>
      </c>
      <c r="AR768">
        <f t="shared" si="1791"/>
        <v>6</v>
      </c>
      <c r="AS768">
        <f>IF(AND(IFERROR(VLOOKUP(AJ768,Equip!$A:$N,13,FALSE),0)&gt;=5,IFERROR(VLOOKUP(AJ768,Equip!$A:$N,13,FALSE),0)&lt;=9),INT(VLOOKUP(AJ768,Equip!$A:$N,6,FALSE)*SQRT(AN768)),0)</f>
        <v>0</v>
      </c>
      <c r="AT768">
        <f>IF(AND(IFERROR(VLOOKUP(AK768,Equip!$A:$N,13,FALSE),0)&gt;=5,IFERROR(VLOOKUP(AK768,Equip!$A:$N,13,FALSE),0)&lt;=9),INT(VLOOKUP(AK768,Equip!$A:$N,6,FALSE)*SQRT(AO768)),0)</f>
        <v>0</v>
      </c>
      <c r="AU768">
        <f>IF(AND(IFERROR(VLOOKUP(AL768,Equip!$A:$N,13,FALSE),0)&gt;=5,IFERROR(VLOOKUP(AL768,Equip!$A:$N,13,FALSE),0)&lt;=9),INT(VLOOKUP(AL768,Equip!$A:$N,6,FALSE)*SQRT(AP768)),0)</f>
        <v>0</v>
      </c>
      <c r="AV768">
        <f>IF(AND(IFERROR(VLOOKUP(AM768,Equip!$A:$N,13,FALSE),0)&gt;=5,IFERROR(VLOOKUP(AM768,Equip!$A:$N,13,FALSE),0)&lt;=9),INT(VLOOKUP(AM768,Equip!$A:$N,6,FALSE)*SQRT(AQ768)),0)</f>
        <v>0</v>
      </c>
      <c r="AW768">
        <f t="shared" si="1773"/>
        <v>0</v>
      </c>
      <c r="AX768">
        <f t="shared" si="1774"/>
        <v>366</v>
      </c>
    </row>
    <row r="769" spans="1:50">
      <c r="A769">
        <v>747</v>
      </c>
      <c r="B769" t="s">
        <v>1078</v>
      </c>
      <c r="C769" t="s">
        <v>1079</v>
      </c>
      <c r="D769">
        <v>1</v>
      </c>
      <c r="E769">
        <f>E768</f>
        <v>2089</v>
      </c>
      <c r="F769">
        <f t="shared" ref="F769" si="1983">F768</f>
        <v>1098</v>
      </c>
      <c r="G769">
        <f t="shared" ref="G769" si="1984">G768</f>
        <v>747</v>
      </c>
      <c r="H769">
        <f t="shared" ref="H769" si="1985">H768</f>
        <v>1</v>
      </c>
      <c r="I769">
        <f t="shared" ref="I769" si="1986">I768</f>
        <v>6</v>
      </c>
      <c r="J769">
        <f t="shared" ref="J769" si="1987">J768</f>
        <v>7</v>
      </c>
      <c r="K769">
        <v>3</v>
      </c>
      <c r="L769">
        <v>4</v>
      </c>
      <c r="M769">
        <v>59</v>
      </c>
      <c r="N769">
        <v>59</v>
      </c>
      <c r="O769">
        <v>52</v>
      </c>
      <c r="P769">
        <v>44</v>
      </c>
      <c r="Q769">
        <v>0</v>
      </c>
      <c r="R769">
        <v>47</v>
      </c>
      <c r="S769">
        <v>56</v>
      </c>
      <c r="T769">
        <v>0</v>
      </c>
      <c r="U769">
        <f t="shared" ref="U769" si="1988">U768</f>
        <v>10</v>
      </c>
      <c r="V769">
        <v>26</v>
      </c>
      <c r="W769">
        <f t="shared" ref="W769" si="1989">W768</f>
        <v>2</v>
      </c>
      <c r="X769">
        <v>15</v>
      </c>
      <c r="Y769">
        <f t="shared" ref="Y769" si="1990">Y768</f>
        <v>0</v>
      </c>
      <c r="Z769">
        <v>50</v>
      </c>
      <c r="AA769">
        <v>80</v>
      </c>
      <c r="AB769">
        <v>82</v>
      </c>
      <c r="AC769">
        <v>34</v>
      </c>
      <c r="AD769">
        <v>90</v>
      </c>
      <c r="AE769">
        <v>77</v>
      </c>
      <c r="AF769">
        <v>69</v>
      </c>
      <c r="AG769">
        <v>89</v>
      </c>
      <c r="AH769">
        <v>0</v>
      </c>
      <c r="AI769">
        <v>61</v>
      </c>
      <c r="AJ769">
        <v>732</v>
      </c>
      <c r="AK769">
        <v>831</v>
      </c>
      <c r="AL769">
        <v>748</v>
      </c>
      <c r="AM769">
        <v>0</v>
      </c>
      <c r="AN769">
        <v>2</v>
      </c>
      <c r="AO769">
        <v>2</v>
      </c>
      <c r="AP769">
        <v>2</v>
      </c>
      <c r="AQ769">
        <v>2</v>
      </c>
      <c r="AR769">
        <f t="shared" si="1791"/>
        <v>8</v>
      </c>
      <c r="AS769">
        <f>IF(AND(IFERROR(VLOOKUP(AJ769,Equip!$A:$N,13,FALSE),0)&gt;=5,IFERROR(VLOOKUP(AJ769,Equip!$A:$N,13,FALSE),0)&lt;=9),INT(VLOOKUP(AJ769,Equip!$A:$N,6,FALSE)*SQRT(AN769)),0)</f>
        <v>0</v>
      </c>
      <c r="AT769">
        <f>IF(AND(IFERROR(VLOOKUP(AK769,Equip!$A:$N,13,FALSE),0)&gt;=5,IFERROR(VLOOKUP(AK769,Equip!$A:$N,13,FALSE),0)&lt;=9),INT(VLOOKUP(AK769,Equip!$A:$N,6,FALSE)*SQRT(AO769)),0)</f>
        <v>0</v>
      </c>
      <c r="AU769">
        <f>IF(AND(IFERROR(VLOOKUP(AL769,Equip!$A:$N,13,FALSE),0)&gt;=5,IFERROR(VLOOKUP(AL769,Equip!$A:$N,13,FALSE),0)&lt;=9),INT(VLOOKUP(AL769,Equip!$A:$N,6,FALSE)*SQRT(AP769)),0)</f>
        <v>0</v>
      </c>
      <c r="AV769">
        <f>IF(AND(IFERROR(VLOOKUP(AM769,Equip!$A:$N,13,FALSE),0)&gt;=5,IFERROR(VLOOKUP(AM769,Equip!$A:$N,13,FALSE),0)&lt;=9),INT(VLOOKUP(AM769,Equip!$A:$N,6,FALSE)*SQRT(AQ769)),0)</f>
        <v>0</v>
      </c>
      <c r="AW769">
        <f t="shared" si="1773"/>
        <v>0</v>
      </c>
      <c r="AX769">
        <f t="shared" si="1774"/>
        <v>492</v>
      </c>
    </row>
    <row r="770" spans="1:50">
      <c r="A770">
        <v>748</v>
      </c>
      <c r="B770" t="s">
        <v>1080</v>
      </c>
      <c r="C770" t="s">
        <v>1081</v>
      </c>
      <c r="D770">
        <v>0</v>
      </c>
      <c r="E770">
        <v>1649</v>
      </c>
      <c r="F770">
        <v>936</v>
      </c>
      <c r="G770">
        <v>748</v>
      </c>
      <c r="H770">
        <v>1</v>
      </c>
      <c r="I770">
        <v>5</v>
      </c>
      <c r="J770">
        <v>0</v>
      </c>
      <c r="K770">
        <v>2</v>
      </c>
      <c r="L770">
        <v>2</v>
      </c>
      <c r="M770">
        <v>25</v>
      </c>
      <c r="N770">
        <v>25</v>
      </c>
      <c r="O770">
        <v>17</v>
      </c>
      <c r="P770">
        <v>14</v>
      </c>
      <c r="Q770">
        <v>24</v>
      </c>
      <c r="R770">
        <v>30</v>
      </c>
      <c r="S770">
        <v>28</v>
      </c>
      <c r="T770">
        <v>28</v>
      </c>
      <c r="U770">
        <v>10</v>
      </c>
      <c r="V770">
        <v>9</v>
      </c>
      <c r="W770">
        <v>2</v>
      </c>
      <c r="X770">
        <v>21</v>
      </c>
      <c r="Y770">
        <v>0</v>
      </c>
      <c r="Z770">
        <v>20</v>
      </c>
      <c r="AA770">
        <v>25</v>
      </c>
      <c r="AB770">
        <v>42</v>
      </c>
      <c r="AC770">
        <v>64</v>
      </c>
      <c r="AD770">
        <v>59</v>
      </c>
      <c r="AE770">
        <v>33</v>
      </c>
      <c r="AF770">
        <v>64</v>
      </c>
      <c r="AG770">
        <v>62</v>
      </c>
      <c r="AH770">
        <v>72</v>
      </c>
      <c r="AI770">
        <v>40</v>
      </c>
      <c r="AJ770">
        <v>730</v>
      </c>
      <c r="AK770">
        <v>771</v>
      </c>
      <c r="AL770">
        <v>-1</v>
      </c>
      <c r="AM770">
        <v>-1</v>
      </c>
      <c r="AN770">
        <v>2</v>
      </c>
      <c r="AO770">
        <v>2</v>
      </c>
      <c r="AP770">
        <v>0</v>
      </c>
      <c r="AQ770">
        <v>0</v>
      </c>
      <c r="AR770">
        <f t="shared" si="1791"/>
        <v>4</v>
      </c>
      <c r="AS770">
        <f>IF(AND(IFERROR(VLOOKUP(AJ770,Equip!$A:$N,13,FALSE),0)&gt;=5,IFERROR(VLOOKUP(AJ770,Equip!$A:$N,13,FALSE),0)&lt;=9),INT(VLOOKUP(AJ770,Equip!$A:$N,6,FALSE)*SQRT(AN770)),0)</f>
        <v>0</v>
      </c>
      <c r="AT770">
        <f>IF(AND(IFERROR(VLOOKUP(AK770,Equip!$A:$N,13,FALSE),0)&gt;=5,IFERROR(VLOOKUP(AK770,Equip!$A:$N,13,FALSE),0)&lt;=9),INT(VLOOKUP(AK770,Equip!$A:$N,6,FALSE)*SQRT(AO770)),0)</f>
        <v>0</v>
      </c>
      <c r="AU770">
        <f>IF(AND(IFERROR(VLOOKUP(AL770,Equip!$A:$N,13,FALSE),0)&gt;=5,IFERROR(VLOOKUP(AL770,Equip!$A:$N,13,FALSE),0)&lt;=9),INT(VLOOKUP(AL770,Equip!$A:$N,6,FALSE)*SQRT(AP770)),0)</f>
        <v>0</v>
      </c>
      <c r="AV770">
        <f>IF(AND(IFERROR(VLOOKUP(AM770,Equip!$A:$N,13,FALSE),0)&gt;=5,IFERROR(VLOOKUP(AM770,Equip!$A:$N,13,FALSE),0)&lt;=9),INT(VLOOKUP(AM770,Equip!$A:$N,6,FALSE)*SQRT(AQ770)),0)</f>
        <v>0</v>
      </c>
      <c r="AW770">
        <f t="shared" si="1773"/>
        <v>0</v>
      </c>
      <c r="AX770">
        <f t="shared" si="1774"/>
        <v>397</v>
      </c>
    </row>
    <row r="771" spans="1:50">
      <c r="A771">
        <v>748</v>
      </c>
      <c r="B771" t="s">
        <v>1080</v>
      </c>
      <c r="C771" t="s">
        <v>1081</v>
      </c>
      <c r="D771">
        <v>1</v>
      </c>
      <c r="E771">
        <f>E770</f>
        <v>1649</v>
      </c>
      <c r="F771">
        <f t="shared" ref="F771" si="1991">F770</f>
        <v>936</v>
      </c>
      <c r="G771">
        <f t="shared" ref="G771" si="1992">G770</f>
        <v>748</v>
      </c>
      <c r="H771">
        <f t="shared" ref="H771" si="1993">H770</f>
        <v>1</v>
      </c>
      <c r="I771">
        <f t="shared" ref="I771" si="1994">I770</f>
        <v>5</v>
      </c>
      <c r="J771">
        <f t="shared" ref="J771" si="1995">J770</f>
        <v>0</v>
      </c>
      <c r="K771">
        <v>2</v>
      </c>
      <c r="L771">
        <v>2</v>
      </c>
      <c r="M771">
        <v>41</v>
      </c>
      <c r="N771">
        <v>41</v>
      </c>
      <c r="O771">
        <v>24</v>
      </c>
      <c r="P771">
        <v>25</v>
      </c>
      <c r="Q771">
        <v>20</v>
      </c>
      <c r="R771">
        <v>38</v>
      </c>
      <c r="S771">
        <v>36</v>
      </c>
      <c r="T771">
        <v>28</v>
      </c>
      <c r="U771">
        <f t="shared" ref="U771" si="1996">U770</f>
        <v>10</v>
      </c>
      <c r="V771">
        <v>29</v>
      </c>
      <c r="W771">
        <f t="shared" ref="W771" si="1997">W770</f>
        <v>2</v>
      </c>
      <c r="X771">
        <v>27</v>
      </c>
      <c r="Y771">
        <f t="shared" ref="Y771" si="1998">Y770</f>
        <v>0</v>
      </c>
      <c r="Z771">
        <v>20</v>
      </c>
      <c r="AA771">
        <v>25</v>
      </c>
      <c r="AB771">
        <v>60</v>
      </c>
      <c r="AC771">
        <v>70</v>
      </c>
      <c r="AD771">
        <v>67</v>
      </c>
      <c r="AE771">
        <v>64</v>
      </c>
      <c r="AF771">
        <v>79</v>
      </c>
      <c r="AG771">
        <v>72</v>
      </c>
      <c r="AH771">
        <v>72</v>
      </c>
      <c r="AI771">
        <v>51</v>
      </c>
      <c r="AJ771">
        <v>730</v>
      </c>
      <c r="AK771">
        <v>746</v>
      </c>
      <c r="AL771">
        <v>768</v>
      </c>
      <c r="AM771">
        <v>-1</v>
      </c>
      <c r="AN771">
        <v>2</v>
      </c>
      <c r="AO771">
        <v>2</v>
      </c>
      <c r="AP771">
        <v>2</v>
      </c>
      <c r="AQ771">
        <v>0</v>
      </c>
      <c r="AR771">
        <f t="shared" si="1791"/>
        <v>6</v>
      </c>
      <c r="AS771">
        <f>IF(AND(IFERROR(VLOOKUP(AJ771,Equip!$A:$N,13,FALSE),0)&gt;=5,IFERROR(VLOOKUP(AJ771,Equip!$A:$N,13,FALSE),0)&lt;=9),INT(VLOOKUP(AJ771,Equip!$A:$N,6,FALSE)*SQRT(AN771)),0)</f>
        <v>0</v>
      </c>
      <c r="AT771">
        <f>IF(AND(IFERROR(VLOOKUP(AK771,Equip!$A:$N,13,FALSE),0)&gt;=5,IFERROR(VLOOKUP(AK771,Equip!$A:$N,13,FALSE),0)&lt;=9),INT(VLOOKUP(AK771,Equip!$A:$N,6,FALSE)*SQRT(AO771)),0)</f>
        <v>0</v>
      </c>
      <c r="AU771">
        <f>IF(AND(IFERROR(VLOOKUP(AL771,Equip!$A:$N,13,FALSE),0)&gt;=5,IFERROR(VLOOKUP(AL771,Equip!$A:$N,13,FALSE),0)&lt;=9),INT(VLOOKUP(AL771,Equip!$A:$N,6,FALSE)*SQRT(AP771)),0)</f>
        <v>0</v>
      </c>
      <c r="AV771">
        <f>IF(AND(IFERROR(VLOOKUP(AM771,Equip!$A:$N,13,FALSE),0)&gt;=5,IFERROR(VLOOKUP(AM771,Equip!$A:$N,13,FALSE),0)&lt;=9),INT(VLOOKUP(AM771,Equip!$A:$N,6,FALSE)*SQRT(AQ771)),0)</f>
        <v>0</v>
      </c>
      <c r="AW771">
        <f t="shared" si="1773"/>
        <v>0</v>
      </c>
      <c r="AX771">
        <f t="shared" si="1774"/>
        <v>497</v>
      </c>
    </row>
    <row r="772" spans="1:50">
      <c r="A772">
        <v>749</v>
      </c>
      <c r="B772" t="s">
        <v>1264</v>
      </c>
      <c r="C772" t="s">
        <v>1082</v>
      </c>
      <c r="D772">
        <v>0</v>
      </c>
      <c r="E772">
        <v>1652</v>
      </c>
      <c r="F772">
        <v>944</v>
      </c>
      <c r="G772">
        <v>749</v>
      </c>
      <c r="H772">
        <v>1</v>
      </c>
      <c r="I772">
        <v>8</v>
      </c>
      <c r="J772">
        <v>7</v>
      </c>
      <c r="K772">
        <v>6</v>
      </c>
      <c r="L772">
        <v>2</v>
      </c>
      <c r="M772">
        <v>30</v>
      </c>
      <c r="N772">
        <v>30</v>
      </c>
      <c r="O772">
        <v>19</v>
      </c>
      <c r="P772">
        <v>15</v>
      </c>
      <c r="Q772">
        <v>8</v>
      </c>
      <c r="R772">
        <v>20</v>
      </c>
      <c r="S772">
        <v>22</v>
      </c>
      <c r="T772">
        <v>26</v>
      </c>
      <c r="U772">
        <v>5</v>
      </c>
      <c r="V772">
        <v>8</v>
      </c>
      <c r="W772">
        <v>2</v>
      </c>
      <c r="X772">
        <v>20</v>
      </c>
      <c r="Y772">
        <v>0</v>
      </c>
      <c r="Z772">
        <v>20</v>
      </c>
      <c r="AA772">
        <v>25</v>
      </c>
      <c r="AB772">
        <v>44</v>
      </c>
      <c r="AC772">
        <v>48</v>
      </c>
      <c r="AD772">
        <v>58</v>
      </c>
      <c r="AE772">
        <v>34</v>
      </c>
      <c r="AF772">
        <v>59</v>
      </c>
      <c r="AG772">
        <v>52</v>
      </c>
      <c r="AH772">
        <v>65</v>
      </c>
      <c r="AI772">
        <v>39</v>
      </c>
      <c r="AJ772">
        <v>851</v>
      </c>
      <c r="AK772">
        <v>0</v>
      </c>
      <c r="AL772">
        <v>0</v>
      </c>
      <c r="AM772">
        <v>-1</v>
      </c>
      <c r="AN772">
        <v>2</v>
      </c>
      <c r="AO772">
        <v>2</v>
      </c>
      <c r="AP772">
        <v>2</v>
      </c>
      <c r="AQ772">
        <v>0</v>
      </c>
      <c r="AR772">
        <f t="shared" si="1791"/>
        <v>6</v>
      </c>
      <c r="AS772">
        <f>IF(AND(IFERROR(VLOOKUP(AJ772,Equip!$A:$N,13,FALSE),0)&gt;=5,IFERROR(VLOOKUP(AJ772,Equip!$A:$N,13,FALSE),0)&lt;=9),INT(VLOOKUP(AJ772,Equip!$A:$N,6,FALSE)*SQRT(AN772)),0)</f>
        <v>0</v>
      </c>
      <c r="AT772">
        <f>IF(AND(IFERROR(VLOOKUP(AK772,Equip!$A:$N,13,FALSE),0)&gt;=5,IFERROR(VLOOKUP(AK772,Equip!$A:$N,13,FALSE),0)&lt;=9),INT(VLOOKUP(AK772,Equip!$A:$N,6,FALSE)*SQRT(AO772)),0)</f>
        <v>0</v>
      </c>
      <c r="AU772">
        <f>IF(AND(IFERROR(VLOOKUP(AL772,Equip!$A:$N,13,FALSE),0)&gt;=5,IFERROR(VLOOKUP(AL772,Equip!$A:$N,13,FALSE),0)&lt;=9),INT(VLOOKUP(AL772,Equip!$A:$N,6,FALSE)*SQRT(AP772)),0)</f>
        <v>0</v>
      </c>
      <c r="AV772">
        <f>IF(AND(IFERROR(VLOOKUP(AM772,Equip!$A:$N,13,FALSE),0)&gt;=5,IFERROR(VLOOKUP(AM772,Equip!$A:$N,13,FALSE),0)&lt;=9),INT(VLOOKUP(AM772,Equip!$A:$N,6,FALSE)*SQRT(AQ772)),0)</f>
        <v>0</v>
      </c>
      <c r="AW772">
        <f t="shared" ref="AW772:AW835" si="1999">SUM(AS772:AV772)</f>
        <v>0</v>
      </c>
      <c r="AX772">
        <f t="shared" ref="AX772:AX835" si="2000">SUM(N772,AB772:AE772,AG772:AI772)</f>
        <v>370</v>
      </c>
    </row>
    <row r="773" spans="1:50">
      <c r="A773">
        <v>749</v>
      </c>
      <c r="B773" t="s">
        <v>1264</v>
      </c>
      <c r="C773" t="s">
        <v>1082</v>
      </c>
      <c r="D773">
        <v>1</v>
      </c>
      <c r="E773">
        <f>E772</f>
        <v>1652</v>
      </c>
      <c r="F773">
        <f t="shared" ref="F773" si="2001">F772</f>
        <v>944</v>
      </c>
      <c r="G773">
        <f t="shared" ref="G773" si="2002">G772</f>
        <v>749</v>
      </c>
      <c r="H773">
        <f t="shared" ref="H773" si="2003">H772</f>
        <v>1</v>
      </c>
      <c r="I773">
        <f t="shared" ref="I773" si="2004">I772</f>
        <v>8</v>
      </c>
      <c r="J773">
        <f t="shared" ref="J773" si="2005">J772</f>
        <v>7</v>
      </c>
      <c r="K773">
        <v>6</v>
      </c>
      <c r="L773">
        <v>2</v>
      </c>
      <c r="M773">
        <v>43</v>
      </c>
      <c r="N773">
        <v>43</v>
      </c>
      <c r="O773">
        <v>26</v>
      </c>
      <c r="P773">
        <v>26</v>
      </c>
      <c r="Q773">
        <v>18</v>
      </c>
      <c r="R773">
        <v>28</v>
      </c>
      <c r="S773">
        <v>30</v>
      </c>
      <c r="T773">
        <v>26</v>
      </c>
      <c r="U773">
        <f t="shared" ref="U773" si="2006">U772</f>
        <v>5</v>
      </c>
      <c r="V773">
        <v>28</v>
      </c>
      <c r="W773">
        <f t="shared" ref="W773" si="2007">W772</f>
        <v>2</v>
      </c>
      <c r="X773">
        <v>23</v>
      </c>
      <c r="Y773">
        <f t="shared" ref="Y773" si="2008">Y772</f>
        <v>0</v>
      </c>
      <c r="Z773">
        <v>25</v>
      </c>
      <c r="AA773">
        <v>30</v>
      </c>
      <c r="AB773">
        <v>62</v>
      </c>
      <c r="AC773">
        <v>53</v>
      </c>
      <c r="AD773">
        <v>68</v>
      </c>
      <c r="AE773">
        <v>64</v>
      </c>
      <c r="AF773">
        <v>74</v>
      </c>
      <c r="AG773">
        <v>62</v>
      </c>
      <c r="AH773">
        <v>65</v>
      </c>
      <c r="AI773">
        <v>49</v>
      </c>
      <c r="AJ773">
        <v>851</v>
      </c>
      <c r="AK773">
        <v>748</v>
      </c>
      <c r="AL773">
        <v>854</v>
      </c>
      <c r="AM773">
        <v>0</v>
      </c>
      <c r="AN773">
        <v>2</v>
      </c>
      <c r="AO773">
        <v>2</v>
      </c>
      <c r="AP773">
        <v>2</v>
      </c>
      <c r="AQ773">
        <v>2</v>
      </c>
      <c r="AR773">
        <f t="shared" si="1791"/>
        <v>8</v>
      </c>
      <c r="AS773">
        <f>IF(AND(IFERROR(VLOOKUP(AJ773,Equip!$A:$N,13,FALSE),0)&gt;=5,IFERROR(VLOOKUP(AJ773,Equip!$A:$N,13,FALSE),0)&lt;=9),INT(VLOOKUP(AJ773,Equip!$A:$N,6,FALSE)*SQRT(AN773)),0)</f>
        <v>0</v>
      </c>
      <c r="AT773">
        <f>IF(AND(IFERROR(VLOOKUP(AK773,Equip!$A:$N,13,FALSE),0)&gt;=5,IFERROR(VLOOKUP(AK773,Equip!$A:$N,13,FALSE),0)&lt;=9),INT(VLOOKUP(AK773,Equip!$A:$N,6,FALSE)*SQRT(AO773)),0)</f>
        <v>0</v>
      </c>
      <c r="AU773">
        <f>IF(AND(IFERROR(VLOOKUP(AL773,Equip!$A:$N,13,FALSE),0)&gt;=5,IFERROR(VLOOKUP(AL773,Equip!$A:$N,13,FALSE),0)&lt;=9),INT(VLOOKUP(AL773,Equip!$A:$N,6,FALSE)*SQRT(AP773)),0)</f>
        <v>0</v>
      </c>
      <c r="AV773">
        <f>IF(AND(IFERROR(VLOOKUP(AM773,Equip!$A:$N,13,FALSE),0)&gt;=5,IFERROR(VLOOKUP(AM773,Equip!$A:$N,13,FALSE),0)&lt;=9),INT(VLOOKUP(AM773,Equip!$A:$N,6,FALSE)*SQRT(AQ773)),0)</f>
        <v>0</v>
      </c>
      <c r="AW773">
        <f t="shared" si="1999"/>
        <v>0</v>
      </c>
      <c r="AX773">
        <f t="shared" si="2000"/>
        <v>466</v>
      </c>
    </row>
    <row r="774" spans="1:50">
      <c r="A774">
        <v>750</v>
      </c>
      <c r="B774" t="s">
        <v>1083</v>
      </c>
      <c r="C774" t="s">
        <v>670</v>
      </c>
      <c r="D774">
        <v>0</v>
      </c>
      <c r="E774">
        <v>1402</v>
      </c>
      <c r="F774">
        <v>799</v>
      </c>
      <c r="G774">
        <v>750</v>
      </c>
      <c r="H774">
        <v>1</v>
      </c>
      <c r="I774">
        <v>8</v>
      </c>
      <c r="J774">
        <v>6</v>
      </c>
      <c r="K774">
        <v>1</v>
      </c>
      <c r="L774">
        <v>1</v>
      </c>
      <c r="M774">
        <v>20</v>
      </c>
      <c r="N774">
        <v>20</v>
      </c>
      <c r="O774">
        <v>12</v>
      </c>
      <c r="P774">
        <v>5</v>
      </c>
      <c r="Q774">
        <v>22</v>
      </c>
      <c r="R774">
        <v>40</v>
      </c>
      <c r="S774">
        <v>10</v>
      </c>
      <c r="T774">
        <v>30</v>
      </c>
      <c r="U774">
        <v>14</v>
      </c>
      <c r="V774">
        <v>6</v>
      </c>
      <c r="W774">
        <v>1</v>
      </c>
      <c r="X774">
        <v>10</v>
      </c>
      <c r="Y774">
        <v>0</v>
      </c>
      <c r="Z774">
        <v>20</v>
      </c>
      <c r="AA774">
        <v>20</v>
      </c>
      <c r="AB774">
        <v>29</v>
      </c>
      <c r="AC774">
        <v>66</v>
      </c>
      <c r="AD774">
        <v>45</v>
      </c>
      <c r="AE774">
        <v>28</v>
      </c>
      <c r="AF774">
        <v>49</v>
      </c>
      <c r="AG774">
        <v>89</v>
      </c>
      <c r="AH774">
        <v>55</v>
      </c>
      <c r="AI774">
        <v>18</v>
      </c>
      <c r="AJ774">
        <v>726</v>
      </c>
      <c r="AK774">
        <v>771</v>
      </c>
      <c r="AL774">
        <v>-1</v>
      </c>
      <c r="AM774">
        <v>-1</v>
      </c>
      <c r="AN774">
        <v>0</v>
      </c>
      <c r="AO774">
        <v>0</v>
      </c>
      <c r="AP774">
        <v>0</v>
      </c>
      <c r="AQ774">
        <v>0</v>
      </c>
      <c r="AR774">
        <f t="shared" si="1791"/>
        <v>0</v>
      </c>
      <c r="AS774">
        <f>IF(AND(IFERROR(VLOOKUP(AJ774,Equip!$A:$N,13,FALSE),0)&gt;=5,IFERROR(VLOOKUP(AJ774,Equip!$A:$N,13,FALSE),0)&lt;=9),INT(VLOOKUP(AJ774,Equip!$A:$N,6,FALSE)*SQRT(AN774)),0)</f>
        <v>0</v>
      </c>
      <c r="AT774">
        <f>IF(AND(IFERROR(VLOOKUP(AK774,Equip!$A:$N,13,FALSE),0)&gt;=5,IFERROR(VLOOKUP(AK774,Equip!$A:$N,13,FALSE),0)&lt;=9),INT(VLOOKUP(AK774,Equip!$A:$N,6,FALSE)*SQRT(AO774)),0)</f>
        <v>0</v>
      </c>
      <c r="AU774">
        <f>IF(AND(IFERROR(VLOOKUP(AL774,Equip!$A:$N,13,FALSE),0)&gt;=5,IFERROR(VLOOKUP(AL774,Equip!$A:$N,13,FALSE),0)&lt;=9),INT(VLOOKUP(AL774,Equip!$A:$N,6,FALSE)*SQRT(AP774)),0)</f>
        <v>0</v>
      </c>
      <c r="AV774">
        <f>IF(AND(IFERROR(VLOOKUP(AM774,Equip!$A:$N,13,FALSE),0)&gt;=5,IFERROR(VLOOKUP(AM774,Equip!$A:$N,13,FALSE),0)&lt;=9),INT(VLOOKUP(AM774,Equip!$A:$N,6,FALSE)*SQRT(AQ774)),0)</f>
        <v>0</v>
      </c>
      <c r="AW774">
        <f t="shared" si="1999"/>
        <v>0</v>
      </c>
      <c r="AX774">
        <f t="shared" si="2000"/>
        <v>350</v>
      </c>
    </row>
    <row r="775" spans="1:50">
      <c r="A775">
        <v>750</v>
      </c>
      <c r="B775" t="s">
        <v>1083</v>
      </c>
      <c r="C775" t="s">
        <v>670</v>
      </c>
      <c r="D775">
        <v>1</v>
      </c>
      <c r="E775">
        <f>E774</f>
        <v>1402</v>
      </c>
      <c r="F775">
        <f t="shared" ref="F775" si="2009">F774</f>
        <v>799</v>
      </c>
      <c r="G775">
        <f t="shared" ref="G775" si="2010">G774</f>
        <v>750</v>
      </c>
      <c r="H775">
        <f t="shared" ref="H775" si="2011">H774</f>
        <v>1</v>
      </c>
      <c r="I775">
        <f t="shared" ref="I775" si="2012">I774</f>
        <v>8</v>
      </c>
      <c r="J775">
        <f t="shared" ref="J775" si="2013">J774</f>
        <v>6</v>
      </c>
      <c r="K775">
        <v>1</v>
      </c>
      <c r="L775">
        <v>1</v>
      </c>
      <c r="M775">
        <v>35</v>
      </c>
      <c r="N775">
        <v>35</v>
      </c>
      <c r="O775">
        <v>22</v>
      </c>
      <c r="P775">
        <v>15</v>
      </c>
      <c r="Q775">
        <v>22</v>
      </c>
      <c r="R775">
        <v>50</v>
      </c>
      <c r="S775">
        <v>20</v>
      </c>
      <c r="T775">
        <v>32</v>
      </c>
      <c r="U775">
        <f t="shared" ref="U775" si="2014">U774</f>
        <v>14</v>
      </c>
      <c r="V775">
        <v>10</v>
      </c>
      <c r="W775">
        <f t="shared" ref="W775" si="2015">W774</f>
        <v>1</v>
      </c>
      <c r="X775">
        <v>12</v>
      </c>
      <c r="Y775">
        <f t="shared" ref="Y775" si="2016">Y774</f>
        <v>0</v>
      </c>
      <c r="Z775">
        <v>20</v>
      </c>
      <c r="AA775">
        <v>20</v>
      </c>
      <c r="AB775">
        <v>56</v>
      </c>
      <c r="AC775">
        <v>84</v>
      </c>
      <c r="AD775">
        <v>66</v>
      </c>
      <c r="AE775">
        <v>47</v>
      </c>
      <c r="AF775">
        <v>59</v>
      </c>
      <c r="AG775">
        <v>99</v>
      </c>
      <c r="AH775">
        <v>72</v>
      </c>
      <c r="AI775">
        <v>38</v>
      </c>
      <c r="AJ775">
        <v>726</v>
      </c>
      <c r="AK775">
        <v>863</v>
      </c>
      <c r="AL775">
        <v>783</v>
      </c>
      <c r="AM775">
        <v>-1</v>
      </c>
      <c r="AN775">
        <v>0</v>
      </c>
      <c r="AO775">
        <v>0</v>
      </c>
      <c r="AP775">
        <v>0</v>
      </c>
      <c r="AQ775">
        <v>0</v>
      </c>
      <c r="AR775">
        <f t="shared" si="1791"/>
        <v>0</v>
      </c>
      <c r="AS775">
        <f>IF(AND(IFERROR(VLOOKUP(AJ775,Equip!$A:$N,13,FALSE),0)&gt;=5,IFERROR(VLOOKUP(AJ775,Equip!$A:$N,13,FALSE),0)&lt;=9),INT(VLOOKUP(AJ775,Equip!$A:$N,6,FALSE)*SQRT(AN775)),0)</f>
        <v>0</v>
      </c>
      <c r="AT775">
        <f>IF(AND(IFERROR(VLOOKUP(AK775,Equip!$A:$N,13,FALSE),0)&gt;=5,IFERROR(VLOOKUP(AK775,Equip!$A:$N,13,FALSE),0)&lt;=9),INT(VLOOKUP(AK775,Equip!$A:$N,6,FALSE)*SQRT(AO775)),0)</f>
        <v>0</v>
      </c>
      <c r="AU775">
        <f>IF(AND(IFERROR(VLOOKUP(AL775,Equip!$A:$N,13,FALSE),0)&gt;=5,IFERROR(VLOOKUP(AL775,Equip!$A:$N,13,FALSE),0)&lt;=9),INT(VLOOKUP(AL775,Equip!$A:$N,6,FALSE)*SQRT(AP775)),0)</f>
        <v>0</v>
      </c>
      <c r="AV775">
        <f>IF(AND(IFERROR(VLOOKUP(AM775,Equip!$A:$N,13,FALSE),0)&gt;=5,IFERROR(VLOOKUP(AM775,Equip!$A:$N,13,FALSE),0)&lt;=9),INT(VLOOKUP(AM775,Equip!$A:$N,6,FALSE)*SQRT(AQ775)),0)</f>
        <v>0</v>
      </c>
      <c r="AW775">
        <f t="shared" si="1999"/>
        <v>0</v>
      </c>
      <c r="AX775">
        <f t="shared" si="2000"/>
        <v>497</v>
      </c>
    </row>
    <row r="776" spans="1:50">
      <c r="A776">
        <v>751</v>
      </c>
      <c r="B776" t="s">
        <v>1084</v>
      </c>
      <c r="C776" t="s">
        <v>1085</v>
      </c>
      <c r="D776">
        <v>0</v>
      </c>
      <c r="E776">
        <v>2016</v>
      </c>
      <c r="F776">
        <v>1085</v>
      </c>
      <c r="G776">
        <v>751</v>
      </c>
      <c r="H776">
        <v>1</v>
      </c>
      <c r="I776">
        <v>6</v>
      </c>
      <c r="J776">
        <v>7</v>
      </c>
      <c r="K776">
        <v>16</v>
      </c>
      <c r="L776">
        <v>4</v>
      </c>
      <c r="M776">
        <v>43</v>
      </c>
      <c r="N776">
        <v>43</v>
      </c>
      <c r="O776">
        <v>6</v>
      </c>
      <c r="P776">
        <v>5</v>
      </c>
      <c r="Q776">
        <v>0</v>
      </c>
      <c r="R776">
        <v>9</v>
      </c>
      <c r="S776">
        <v>12</v>
      </c>
      <c r="T776">
        <v>0</v>
      </c>
      <c r="U776">
        <v>5</v>
      </c>
      <c r="V776">
        <v>4</v>
      </c>
      <c r="W776">
        <v>1</v>
      </c>
      <c r="X776">
        <v>20</v>
      </c>
      <c r="Y776">
        <v>0</v>
      </c>
      <c r="Z776">
        <v>40</v>
      </c>
      <c r="AA776">
        <v>20</v>
      </c>
      <c r="AB776">
        <v>18</v>
      </c>
      <c r="AC776">
        <v>0</v>
      </c>
      <c r="AD776">
        <v>33</v>
      </c>
      <c r="AE776">
        <v>14</v>
      </c>
      <c r="AF776">
        <v>59</v>
      </c>
      <c r="AG776">
        <v>61</v>
      </c>
      <c r="AH776">
        <v>0</v>
      </c>
      <c r="AI776">
        <v>15</v>
      </c>
      <c r="AJ776">
        <v>725</v>
      </c>
      <c r="AK776">
        <v>86</v>
      </c>
      <c r="AL776">
        <v>0</v>
      </c>
      <c r="AM776">
        <v>-1</v>
      </c>
      <c r="AN776">
        <v>0</v>
      </c>
      <c r="AO776">
        <v>0</v>
      </c>
      <c r="AP776">
        <v>0</v>
      </c>
      <c r="AQ776">
        <v>0</v>
      </c>
      <c r="AR776">
        <f t="shared" si="1791"/>
        <v>0</v>
      </c>
      <c r="AS776">
        <f>IF(AND(IFERROR(VLOOKUP(AJ776,Equip!$A:$N,13,FALSE),0)&gt;=5,IFERROR(VLOOKUP(AJ776,Equip!$A:$N,13,FALSE),0)&lt;=9),INT(VLOOKUP(AJ776,Equip!$A:$N,6,FALSE)*SQRT(AN776)),0)</f>
        <v>0</v>
      </c>
      <c r="AT776">
        <f>IF(AND(IFERROR(VLOOKUP(AK776,Equip!$A:$N,13,FALSE),0)&gt;=5,IFERROR(VLOOKUP(AK776,Equip!$A:$N,13,FALSE),0)&lt;=9),INT(VLOOKUP(AK776,Equip!$A:$N,6,FALSE)*SQRT(AO776)),0)</f>
        <v>0</v>
      </c>
      <c r="AU776">
        <f>IF(AND(IFERROR(VLOOKUP(AL776,Equip!$A:$N,13,FALSE),0)&gt;=5,IFERROR(VLOOKUP(AL776,Equip!$A:$N,13,FALSE),0)&lt;=9),INT(VLOOKUP(AL776,Equip!$A:$N,6,FALSE)*SQRT(AP776)),0)</f>
        <v>0</v>
      </c>
      <c r="AV776">
        <f>IF(AND(IFERROR(VLOOKUP(AM776,Equip!$A:$N,13,FALSE),0)&gt;=5,IFERROR(VLOOKUP(AM776,Equip!$A:$N,13,FALSE),0)&lt;=9),INT(VLOOKUP(AM776,Equip!$A:$N,6,FALSE)*SQRT(AQ776)),0)</f>
        <v>0</v>
      </c>
      <c r="AW776">
        <f t="shared" si="1999"/>
        <v>0</v>
      </c>
      <c r="AX776">
        <f t="shared" si="2000"/>
        <v>184</v>
      </c>
    </row>
    <row r="777" spans="1:50">
      <c r="A777">
        <v>751</v>
      </c>
      <c r="B777" t="s">
        <v>1084</v>
      </c>
      <c r="C777" t="s">
        <v>1085</v>
      </c>
      <c r="D777">
        <v>1</v>
      </c>
      <c r="E777">
        <f>E776</f>
        <v>2016</v>
      </c>
      <c r="F777">
        <f t="shared" ref="F777" si="2017">F776</f>
        <v>1085</v>
      </c>
      <c r="G777">
        <f t="shared" ref="G777" si="2018">G776</f>
        <v>751</v>
      </c>
      <c r="H777">
        <f t="shared" ref="H777" si="2019">H776</f>
        <v>1</v>
      </c>
      <c r="I777">
        <f t="shared" ref="I777" si="2020">I776</f>
        <v>6</v>
      </c>
      <c r="J777">
        <f t="shared" ref="J777" si="2021">J776</f>
        <v>7</v>
      </c>
      <c r="K777">
        <v>16</v>
      </c>
      <c r="L777">
        <v>4</v>
      </c>
      <c r="M777">
        <v>49</v>
      </c>
      <c r="N777">
        <v>49</v>
      </c>
      <c r="O777">
        <v>8</v>
      </c>
      <c r="P777">
        <v>7</v>
      </c>
      <c r="Q777">
        <v>0</v>
      </c>
      <c r="R777">
        <v>21</v>
      </c>
      <c r="S777">
        <v>15</v>
      </c>
      <c r="T777">
        <v>0</v>
      </c>
      <c r="U777">
        <f t="shared" ref="U777" si="2022">U776</f>
        <v>5</v>
      </c>
      <c r="V777">
        <v>6</v>
      </c>
      <c r="W777">
        <f t="shared" ref="W777" si="2023">W776</f>
        <v>1</v>
      </c>
      <c r="X777">
        <v>25</v>
      </c>
      <c r="Y777">
        <f t="shared" ref="Y777" si="2024">Y776</f>
        <v>0</v>
      </c>
      <c r="Z777">
        <v>50</v>
      </c>
      <c r="AA777">
        <v>30</v>
      </c>
      <c r="AB777">
        <v>28</v>
      </c>
      <c r="AC777">
        <v>0</v>
      </c>
      <c r="AD777">
        <v>45</v>
      </c>
      <c r="AE777">
        <v>22</v>
      </c>
      <c r="AF777">
        <v>69</v>
      </c>
      <c r="AG777">
        <v>71</v>
      </c>
      <c r="AH777">
        <v>0</v>
      </c>
      <c r="AI777">
        <v>16</v>
      </c>
      <c r="AJ777">
        <v>725</v>
      </c>
      <c r="AK777">
        <v>86</v>
      </c>
      <c r="AL777">
        <v>0</v>
      </c>
      <c r="AM777">
        <v>0</v>
      </c>
      <c r="AN777">
        <v>0</v>
      </c>
      <c r="AO777">
        <v>0</v>
      </c>
      <c r="AP777">
        <v>0</v>
      </c>
      <c r="AQ777">
        <v>0</v>
      </c>
      <c r="AR777">
        <f t="shared" ref="AR777:AR841" si="2025">SUM(AN777:AQ777)</f>
        <v>0</v>
      </c>
      <c r="AS777">
        <f>IF(AND(IFERROR(VLOOKUP(AJ777,Equip!$A:$N,13,FALSE),0)&gt;=5,IFERROR(VLOOKUP(AJ777,Equip!$A:$N,13,FALSE),0)&lt;=9),INT(VLOOKUP(AJ777,Equip!$A:$N,6,FALSE)*SQRT(AN777)),0)</f>
        <v>0</v>
      </c>
      <c r="AT777">
        <f>IF(AND(IFERROR(VLOOKUP(AK777,Equip!$A:$N,13,FALSE),0)&gt;=5,IFERROR(VLOOKUP(AK777,Equip!$A:$N,13,FALSE),0)&lt;=9),INT(VLOOKUP(AK777,Equip!$A:$N,6,FALSE)*SQRT(AO777)),0)</f>
        <v>0</v>
      </c>
      <c r="AU777">
        <f>IF(AND(IFERROR(VLOOKUP(AL777,Equip!$A:$N,13,FALSE),0)&gt;=5,IFERROR(VLOOKUP(AL777,Equip!$A:$N,13,FALSE),0)&lt;=9),INT(VLOOKUP(AL777,Equip!$A:$N,6,FALSE)*SQRT(AP777)),0)</f>
        <v>0</v>
      </c>
      <c r="AV777">
        <f>IF(AND(IFERROR(VLOOKUP(AM777,Equip!$A:$N,13,FALSE),0)&gt;=5,IFERROR(VLOOKUP(AM777,Equip!$A:$N,13,FALSE),0)&lt;=9),INT(VLOOKUP(AM777,Equip!$A:$N,6,FALSE)*SQRT(AQ777)),0)</f>
        <v>0</v>
      </c>
      <c r="AW777">
        <f t="shared" si="1999"/>
        <v>0</v>
      </c>
      <c r="AX777">
        <f t="shared" si="2000"/>
        <v>231</v>
      </c>
    </row>
    <row r="778" spans="1:50">
      <c r="A778">
        <v>752</v>
      </c>
      <c r="B778" t="s">
        <v>1086</v>
      </c>
      <c r="C778" t="s">
        <v>1087</v>
      </c>
      <c r="D778">
        <v>0</v>
      </c>
      <c r="E778">
        <v>1252</v>
      </c>
      <c r="F778">
        <v>735</v>
      </c>
      <c r="G778">
        <v>752</v>
      </c>
      <c r="H778">
        <v>0</v>
      </c>
      <c r="I778">
        <v>5</v>
      </c>
      <c r="J778">
        <v>2</v>
      </c>
      <c r="K778">
        <v>1</v>
      </c>
      <c r="L778">
        <v>1</v>
      </c>
      <c r="M778">
        <v>14</v>
      </c>
      <c r="N778">
        <v>14</v>
      </c>
      <c r="O778">
        <v>9</v>
      </c>
      <c r="P778">
        <v>5</v>
      </c>
      <c r="Q778">
        <v>20</v>
      </c>
      <c r="R778">
        <v>36</v>
      </c>
      <c r="S778">
        <v>15</v>
      </c>
      <c r="T778">
        <v>28</v>
      </c>
      <c r="U778">
        <v>10</v>
      </c>
      <c r="V778">
        <v>5</v>
      </c>
      <c r="W778">
        <v>1</v>
      </c>
      <c r="X778">
        <v>10</v>
      </c>
      <c r="Y778">
        <v>0</v>
      </c>
      <c r="Z778">
        <v>10</v>
      </c>
      <c r="AA778">
        <v>25</v>
      </c>
      <c r="AB778">
        <v>29</v>
      </c>
      <c r="AC778">
        <v>70</v>
      </c>
      <c r="AD778">
        <v>45</v>
      </c>
      <c r="AE778">
        <v>20</v>
      </c>
      <c r="AF778">
        <v>49</v>
      </c>
      <c r="AG778">
        <v>76</v>
      </c>
      <c r="AH778">
        <v>58</v>
      </c>
      <c r="AI778">
        <v>15</v>
      </c>
      <c r="AJ778">
        <v>723</v>
      </c>
      <c r="AK778">
        <v>773</v>
      </c>
      <c r="AL778">
        <v>-1</v>
      </c>
      <c r="AM778">
        <v>-1</v>
      </c>
      <c r="AN778">
        <v>0</v>
      </c>
      <c r="AO778">
        <v>0</v>
      </c>
      <c r="AP778">
        <v>0</v>
      </c>
      <c r="AQ778">
        <v>0</v>
      </c>
      <c r="AR778">
        <f t="shared" si="2025"/>
        <v>0</v>
      </c>
      <c r="AS778">
        <f>IF(AND(IFERROR(VLOOKUP(AJ778,Equip!$A:$N,13,FALSE),0)&gt;=5,IFERROR(VLOOKUP(AJ778,Equip!$A:$N,13,FALSE),0)&lt;=9),INT(VLOOKUP(AJ778,Equip!$A:$N,6,FALSE)*SQRT(AN778)),0)</f>
        <v>0</v>
      </c>
      <c r="AT778">
        <f>IF(AND(IFERROR(VLOOKUP(AK778,Equip!$A:$N,13,FALSE),0)&gt;=5,IFERROR(VLOOKUP(AK778,Equip!$A:$N,13,FALSE),0)&lt;=9),INT(VLOOKUP(AK778,Equip!$A:$N,6,FALSE)*SQRT(AO778)),0)</f>
        <v>0</v>
      </c>
      <c r="AU778">
        <f>IF(AND(IFERROR(VLOOKUP(AL778,Equip!$A:$N,13,FALSE),0)&gt;=5,IFERROR(VLOOKUP(AL778,Equip!$A:$N,13,FALSE),0)&lt;=9),INT(VLOOKUP(AL778,Equip!$A:$N,6,FALSE)*SQRT(AP778)),0)</f>
        <v>0</v>
      </c>
      <c r="AV778">
        <f>IF(AND(IFERROR(VLOOKUP(AM778,Equip!$A:$N,13,FALSE),0)&gt;=5,IFERROR(VLOOKUP(AM778,Equip!$A:$N,13,FALSE),0)&lt;=9),INT(VLOOKUP(AM778,Equip!$A:$N,6,FALSE)*SQRT(AQ778)),0)</f>
        <v>0</v>
      </c>
      <c r="AW778">
        <f t="shared" si="1999"/>
        <v>0</v>
      </c>
      <c r="AX778">
        <f t="shared" si="2000"/>
        <v>327</v>
      </c>
    </row>
    <row r="779" spans="1:50">
      <c r="A779">
        <v>752</v>
      </c>
      <c r="B779" t="s">
        <v>1086</v>
      </c>
      <c r="C779" t="s">
        <v>1087</v>
      </c>
      <c r="D779">
        <v>1</v>
      </c>
      <c r="E779">
        <f t="shared" ref="E779:E780" si="2026">E778</f>
        <v>1252</v>
      </c>
      <c r="F779">
        <f t="shared" ref="F779:F780" si="2027">F778</f>
        <v>735</v>
      </c>
      <c r="G779">
        <f t="shared" ref="G779:G780" si="2028">G778</f>
        <v>752</v>
      </c>
      <c r="H779">
        <f t="shared" ref="H779:H780" si="2029">H778</f>
        <v>0</v>
      </c>
      <c r="I779">
        <f t="shared" ref="I779:I780" si="2030">I778</f>
        <v>5</v>
      </c>
      <c r="J779">
        <f t="shared" ref="J779:J780" si="2031">J778</f>
        <v>2</v>
      </c>
      <c r="K779">
        <v>1</v>
      </c>
      <c r="L779">
        <v>1</v>
      </c>
      <c r="M779">
        <v>29</v>
      </c>
      <c r="N779">
        <v>29</v>
      </c>
      <c r="O779">
        <v>15</v>
      </c>
      <c r="P779">
        <v>17</v>
      </c>
      <c r="Q779">
        <v>26</v>
      </c>
      <c r="R779">
        <v>46</v>
      </c>
      <c r="S779">
        <v>25</v>
      </c>
      <c r="T779">
        <v>33</v>
      </c>
      <c r="U779">
        <f t="shared" ref="U779:U780" si="2032">U778</f>
        <v>10</v>
      </c>
      <c r="V779">
        <v>7</v>
      </c>
      <c r="W779">
        <f t="shared" ref="W779:W780" si="2033">W778</f>
        <v>1</v>
      </c>
      <c r="X779">
        <v>12</v>
      </c>
      <c r="Y779">
        <f t="shared" ref="Y779:Y780" si="2034">Y778</f>
        <v>0</v>
      </c>
      <c r="Z779">
        <v>10</v>
      </c>
      <c r="AA779">
        <v>25</v>
      </c>
      <c r="AB779">
        <v>40</v>
      </c>
      <c r="AC779">
        <v>81</v>
      </c>
      <c r="AD779">
        <v>55</v>
      </c>
      <c r="AE779">
        <v>47</v>
      </c>
      <c r="AF779">
        <v>64</v>
      </c>
      <c r="AG779">
        <v>86</v>
      </c>
      <c r="AH779">
        <v>73</v>
      </c>
      <c r="AI779">
        <v>36</v>
      </c>
      <c r="AJ779">
        <v>723</v>
      </c>
      <c r="AK779">
        <v>715</v>
      </c>
      <c r="AL779">
        <v>780</v>
      </c>
      <c r="AM779">
        <v>-1</v>
      </c>
      <c r="AN779">
        <v>0</v>
      </c>
      <c r="AO779">
        <v>0</v>
      </c>
      <c r="AP779">
        <v>0</v>
      </c>
      <c r="AQ779">
        <v>0</v>
      </c>
      <c r="AR779">
        <f t="shared" si="2025"/>
        <v>0</v>
      </c>
      <c r="AS779">
        <f>IF(AND(IFERROR(VLOOKUP(AJ779,Equip!$A:$N,13,FALSE),0)&gt;=5,IFERROR(VLOOKUP(AJ779,Equip!$A:$N,13,FALSE),0)&lt;=9),INT(VLOOKUP(AJ779,Equip!$A:$N,6,FALSE)*SQRT(AN779)),0)</f>
        <v>0</v>
      </c>
      <c r="AT779">
        <f>IF(AND(IFERROR(VLOOKUP(AK779,Equip!$A:$N,13,FALSE),0)&gt;=5,IFERROR(VLOOKUP(AK779,Equip!$A:$N,13,FALSE),0)&lt;=9),INT(VLOOKUP(AK779,Equip!$A:$N,6,FALSE)*SQRT(AO779)),0)</f>
        <v>0</v>
      </c>
      <c r="AU779">
        <f>IF(AND(IFERROR(VLOOKUP(AL779,Equip!$A:$N,13,FALSE),0)&gt;=5,IFERROR(VLOOKUP(AL779,Equip!$A:$N,13,FALSE),0)&lt;=9),INT(VLOOKUP(AL779,Equip!$A:$N,6,FALSE)*SQRT(AP779)),0)</f>
        <v>0</v>
      </c>
      <c r="AV779">
        <f>IF(AND(IFERROR(VLOOKUP(AM779,Equip!$A:$N,13,FALSE),0)&gt;=5,IFERROR(VLOOKUP(AM779,Equip!$A:$N,13,FALSE),0)&lt;=9),INT(VLOOKUP(AM779,Equip!$A:$N,6,FALSE)*SQRT(AQ779)),0)</f>
        <v>0</v>
      </c>
      <c r="AW779">
        <f t="shared" si="1999"/>
        <v>0</v>
      </c>
      <c r="AX779">
        <f t="shared" si="2000"/>
        <v>447</v>
      </c>
    </row>
    <row r="780" spans="1:50">
      <c r="A780">
        <v>752</v>
      </c>
      <c r="B780" t="s">
        <v>1086</v>
      </c>
      <c r="C780" t="s">
        <v>1087</v>
      </c>
      <c r="D780">
        <v>2</v>
      </c>
      <c r="E780">
        <f t="shared" si="2026"/>
        <v>1252</v>
      </c>
      <c r="F780">
        <f t="shared" si="2027"/>
        <v>735</v>
      </c>
      <c r="G780">
        <f t="shared" si="2028"/>
        <v>752</v>
      </c>
      <c r="H780">
        <f t="shared" si="2029"/>
        <v>0</v>
      </c>
      <c r="I780">
        <f t="shared" si="2030"/>
        <v>5</v>
      </c>
      <c r="J780">
        <f t="shared" si="2031"/>
        <v>2</v>
      </c>
      <c r="K780">
        <v>1</v>
      </c>
      <c r="L780">
        <v>1</v>
      </c>
      <c r="M780">
        <v>42</v>
      </c>
      <c r="N780">
        <v>42</v>
      </c>
      <c r="O780">
        <v>18</v>
      </c>
      <c r="P780">
        <v>25</v>
      </c>
      <c r="Q780">
        <v>39</v>
      </c>
      <c r="R780">
        <v>45</v>
      </c>
      <c r="S780">
        <v>28</v>
      </c>
      <c r="T780">
        <v>36</v>
      </c>
      <c r="U780">
        <f t="shared" si="2032"/>
        <v>10</v>
      </c>
      <c r="V780">
        <v>10</v>
      </c>
      <c r="W780">
        <f t="shared" si="2033"/>
        <v>1</v>
      </c>
      <c r="X780">
        <v>15</v>
      </c>
      <c r="Y780">
        <f t="shared" si="2034"/>
        <v>0</v>
      </c>
      <c r="Z780">
        <v>10</v>
      </c>
      <c r="AA780">
        <v>25</v>
      </c>
      <c r="AB780">
        <v>40</v>
      </c>
      <c r="AC780">
        <v>86</v>
      </c>
      <c r="AD780">
        <v>55</v>
      </c>
      <c r="AE780">
        <v>54</v>
      </c>
      <c r="AF780">
        <v>69</v>
      </c>
      <c r="AG780">
        <v>88</v>
      </c>
      <c r="AH780">
        <v>73</v>
      </c>
      <c r="AI780">
        <v>38</v>
      </c>
      <c r="AJ780">
        <v>723</v>
      </c>
      <c r="AK780">
        <v>773</v>
      </c>
      <c r="AL780">
        <v>780</v>
      </c>
      <c r="AM780">
        <v>-1</v>
      </c>
      <c r="AN780">
        <v>0</v>
      </c>
      <c r="AO780">
        <v>0</v>
      </c>
      <c r="AP780">
        <v>0</v>
      </c>
      <c r="AQ780">
        <v>0</v>
      </c>
      <c r="AR780">
        <f t="shared" si="2025"/>
        <v>0</v>
      </c>
      <c r="AS780">
        <f>IF(AND(IFERROR(VLOOKUP(AJ780,Equip!$A:$N,13,FALSE),0)&gt;=5,IFERROR(VLOOKUP(AJ780,Equip!$A:$N,13,FALSE),0)&lt;=9),INT(VLOOKUP(AJ780,Equip!$A:$N,6,FALSE)*SQRT(AN780)),0)</f>
        <v>0</v>
      </c>
      <c r="AT780">
        <f>IF(AND(IFERROR(VLOOKUP(AK780,Equip!$A:$N,13,FALSE),0)&gt;=5,IFERROR(VLOOKUP(AK780,Equip!$A:$N,13,FALSE),0)&lt;=9),INT(VLOOKUP(AK780,Equip!$A:$N,6,FALSE)*SQRT(AO780)),0)</f>
        <v>0</v>
      </c>
      <c r="AU780">
        <f>IF(AND(IFERROR(VLOOKUP(AL780,Equip!$A:$N,13,FALSE),0)&gt;=5,IFERROR(VLOOKUP(AL780,Equip!$A:$N,13,FALSE),0)&lt;=9),INT(VLOOKUP(AL780,Equip!$A:$N,6,FALSE)*SQRT(AP780)),0)</f>
        <v>0</v>
      </c>
      <c r="AV780">
        <f>IF(AND(IFERROR(VLOOKUP(AM780,Equip!$A:$N,13,FALSE),0)&gt;=5,IFERROR(VLOOKUP(AM780,Equip!$A:$N,13,FALSE),0)&lt;=9),INT(VLOOKUP(AM780,Equip!$A:$N,6,FALSE)*SQRT(AQ780)),0)</f>
        <v>0</v>
      </c>
      <c r="AW780">
        <f t="shared" si="1999"/>
        <v>0</v>
      </c>
      <c r="AX780">
        <f t="shared" si="2000"/>
        <v>476</v>
      </c>
    </row>
    <row r="781" spans="1:50">
      <c r="A781">
        <v>753</v>
      </c>
      <c r="B781" t="s">
        <v>1088</v>
      </c>
      <c r="C781" t="s">
        <v>1089</v>
      </c>
      <c r="D781">
        <v>0</v>
      </c>
      <c r="E781">
        <v>1158</v>
      </c>
      <c r="F781">
        <v>707</v>
      </c>
      <c r="G781">
        <v>753</v>
      </c>
      <c r="H781">
        <v>0</v>
      </c>
      <c r="I781">
        <v>6</v>
      </c>
      <c r="J781">
        <v>4</v>
      </c>
      <c r="K781">
        <v>14</v>
      </c>
      <c r="L781">
        <v>1</v>
      </c>
      <c r="M781">
        <v>12</v>
      </c>
      <c r="N781">
        <v>12</v>
      </c>
      <c r="O781">
        <v>2</v>
      </c>
      <c r="P781">
        <v>4</v>
      </c>
      <c r="Q781">
        <v>24</v>
      </c>
      <c r="R781">
        <v>20</v>
      </c>
      <c r="S781">
        <v>0</v>
      </c>
      <c r="T781">
        <v>0</v>
      </c>
      <c r="U781">
        <v>5</v>
      </c>
      <c r="V781">
        <v>12</v>
      </c>
      <c r="W781">
        <v>1</v>
      </c>
      <c r="X781">
        <v>27</v>
      </c>
      <c r="Y781">
        <v>0</v>
      </c>
      <c r="Z781">
        <v>15</v>
      </c>
      <c r="AA781">
        <v>20</v>
      </c>
      <c r="AB781">
        <v>9</v>
      </c>
      <c r="AC781">
        <v>74</v>
      </c>
      <c r="AD781">
        <v>0</v>
      </c>
      <c r="AE781">
        <v>16</v>
      </c>
      <c r="AF781">
        <v>59</v>
      </c>
      <c r="AG781">
        <v>40</v>
      </c>
      <c r="AH781">
        <v>0</v>
      </c>
      <c r="AI781">
        <v>42</v>
      </c>
      <c r="AJ781">
        <v>799</v>
      </c>
      <c r="AK781">
        <v>0</v>
      </c>
      <c r="AL781">
        <v>-1</v>
      </c>
      <c r="AM781">
        <v>-1</v>
      </c>
      <c r="AN781">
        <v>0</v>
      </c>
      <c r="AO781">
        <v>0</v>
      </c>
      <c r="AP781">
        <v>0</v>
      </c>
      <c r="AQ781">
        <v>0</v>
      </c>
      <c r="AR781">
        <f t="shared" si="2025"/>
        <v>0</v>
      </c>
      <c r="AS781">
        <f>IF(AND(IFERROR(VLOOKUP(AJ781,Equip!$A:$N,13,FALSE),0)&gt;=5,IFERROR(VLOOKUP(AJ781,Equip!$A:$N,13,FALSE),0)&lt;=9),INT(VLOOKUP(AJ781,Equip!$A:$N,6,FALSE)*SQRT(AN781)),0)</f>
        <v>0</v>
      </c>
      <c r="AT781">
        <f>IF(AND(IFERROR(VLOOKUP(AK781,Equip!$A:$N,13,FALSE),0)&gt;=5,IFERROR(VLOOKUP(AK781,Equip!$A:$N,13,FALSE),0)&lt;=9),INT(VLOOKUP(AK781,Equip!$A:$N,6,FALSE)*SQRT(AO781)),0)</f>
        <v>0</v>
      </c>
      <c r="AU781">
        <f>IF(AND(IFERROR(VLOOKUP(AL781,Equip!$A:$N,13,FALSE),0)&gt;=5,IFERROR(VLOOKUP(AL781,Equip!$A:$N,13,FALSE),0)&lt;=9),INT(VLOOKUP(AL781,Equip!$A:$N,6,FALSE)*SQRT(AP781)),0)</f>
        <v>0</v>
      </c>
      <c r="AV781">
        <f>IF(AND(IFERROR(VLOOKUP(AM781,Equip!$A:$N,13,FALSE),0)&gt;=5,IFERROR(VLOOKUP(AM781,Equip!$A:$N,13,FALSE),0)&lt;=9),INT(VLOOKUP(AM781,Equip!$A:$N,6,FALSE)*SQRT(AQ781)),0)</f>
        <v>0</v>
      </c>
      <c r="AW781">
        <f t="shared" si="1999"/>
        <v>0</v>
      </c>
      <c r="AX781">
        <f t="shared" si="2000"/>
        <v>193</v>
      </c>
    </row>
    <row r="782" spans="1:50">
      <c r="A782">
        <v>753</v>
      </c>
      <c r="B782" t="s">
        <v>1088</v>
      </c>
      <c r="C782" t="s">
        <v>1089</v>
      </c>
      <c r="D782">
        <v>1</v>
      </c>
      <c r="E782">
        <f>E781</f>
        <v>1158</v>
      </c>
      <c r="F782">
        <f t="shared" ref="F782" si="2035">F781</f>
        <v>707</v>
      </c>
      <c r="G782">
        <f t="shared" ref="G782" si="2036">G781</f>
        <v>753</v>
      </c>
      <c r="H782">
        <f t="shared" ref="H782" si="2037">H781</f>
        <v>0</v>
      </c>
      <c r="I782">
        <f t="shared" ref="I782" si="2038">I781</f>
        <v>6</v>
      </c>
      <c r="J782">
        <f t="shared" ref="J782" si="2039">J781</f>
        <v>4</v>
      </c>
      <c r="K782">
        <v>14</v>
      </c>
      <c r="L782">
        <v>1</v>
      </c>
      <c r="M782">
        <v>17</v>
      </c>
      <c r="N782">
        <v>17</v>
      </c>
      <c r="O782">
        <v>3</v>
      </c>
      <c r="P782">
        <v>4</v>
      </c>
      <c r="Q782">
        <v>34</v>
      </c>
      <c r="R782">
        <v>20</v>
      </c>
      <c r="S782">
        <v>0</v>
      </c>
      <c r="T782">
        <v>0</v>
      </c>
      <c r="U782">
        <f t="shared" ref="U782" si="2040">U781</f>
        <v>5</v>
      </c>
      <c r="V782">
        <v>16</v>
      </c>
      <c r="W782">
        <f t="shared" ref="W782" si="2041">W781</f>
        <v>1</v>
      </c>
      <c r="X782">
        <v>30</v>
      </c>
      <c r="Y782">
        <f t="shared" ref="Y782" si="2042">Y781</f>
        <v>0</v>
      </c>
      <c r="Z782">
        <v>20</v>
      </c>
      <c r="AA782">
        <v>25</v>
      </c>
      <c r="AB782">
        <v>12</v>
      </c>
      <c r="AC782">
        <v>89</v>
      </c>
      <c r="AD782">
        <v>0</v>
      </c>
      <c r="AE782">
        <v>17</v>
      </c>
      <c r="AF782">
        <v>79</v>
      </c>
      <c r="AG782">
        <v>45</v>
      </c>
      <c r="AH782">
        <v>0</v>
      </c>
      <c r="AI782">
        <v>46</v>
      </c>
      <c r="AJ782">
        <v>871</v>
      </c>
      <c r="AK782">
        <v>0</v>
      </c>
      <c r="AL782">
        <v>-1</v>
      </c>
      <c r="AM782">
        <v>-1</v>
      </c>
      <c r="AN782">
        <v>0</v>
      </c>
      <c r="AO782">
        <v>0</v>
      </c>
      <c r="AP782">
        <v>0</v>
      </c>
      <c r="AQ782">
        <v>0</v>
      </c>
      <c r="AR782">
        <f t="shared" si="2025"/>
        <v>0</v>
      </c>
      <c r="AS782">
        <f>IF(AND(IFERROR(VLOOKUP(AJ782,Equip!$A:$N,13,FALSE),0)&gt;=5,IFERROR(VLOOKUP(AJ782,Equip!$A:$N,13,FALSE),0)&lt;=9),INT(VLOOKUP(AJ782,Equip!$A:$N,6,FALSE)*SQRT(AN782)),0)</f>
        <v>0</v>
      </c>
      <c r="AT782">
        <f>IF(AND(IFERROR(VLOOKUP(AK782,Equip!$A:$N,13,FALSE),0)&gt;=5,IFERROR(VLOOKUP(AK782,Equip!$A:$N,13,FALSE),0)&lt;=9),INT(VLOOKUP(AK782,Equip!$A:$N,6,FALSE)*SQRT(AO782)),0)</f>
        <v>0</v>
      </c>
      <c r="AU782">
        <f>IF(AND(IFERROR(VLOOKUP(AL782,Equip!$A:$N,13,FALSE),0)&gt;=5,IFERROR(VLOOKUP(AL782,Equip!$A:$N,13,FALSE),0)&lt;=9),INT(VLOOKUP(AL782,Equip!$A:$N,6,FALSE)*SQRT(AP782)),0)</f>
        <v>0</v>
      </c>
      <c r="AV782">
        <f>IF(AND(IFERROR(VLOOKUP(AM782,Equip!$A:$N,13,FALSE),0)&gt;=5,IFERROR(VLOOKUP(AM782,Equip!$A:$N,13,FALSE),0)&lt;=9),INT(VLOOKUP(AM782,Equip!$A:$N,6,FALSE)*SQRT(AQ782)),0)</f>
        <v>0</v>
      </c>
      <c r="AW782">
        <f t="shared" si="1999"/>
        <v>0</v>
      </c>
      <c r="AX782">
        <f t="shared" si="2000"/>
        <v>226</v>
      </c>
    </row>
    <row r="783" spans="1:50">
      <c r="A783">
        <v>754</v>
      </c>
      <c r="B783" t="s">
        <v>1090</v>
      </c>
      <c r="C783" t="s">
        <v>1091</v>
      </c>
      <c r="D783">
        <v>0</v>
      </c>
      <c r="E783">
        <v>2082</v>
      </c>
      <c r="F783">
        <v>1090</v>
      </c>
      <c r="G783">
        <v>754</v>
      </c>
      <c r="H783">
        <v>1</v>
      </c>
      <c r="I783">
        <v>5</v>
      </c>
      <c r="J783">
        <v>9</v>
      </c>
      <c r="K783">
        <v>3</v>
      </c>
      <c r="L783">
        <v>4</v>
      </c>
      <c r="M783">
        <v>49</v>
      </c>
      <c r="N783">
        <v>49</v>
      </c>
      <c r="O783">
        <v>34</v>
      </c>
      <c r="P783">
        <v>25</v>
      </c>
      <c r="Q783">
        <v>10</v>
      </c>
      <c r="R783">
        <v>30</v>
      </c>
      <c r="S783">
        <v>35</v>
      </c>
      <c r="T783">
        <v>0</v>
      </c>
      <c r="U783">
        <v>10</v>
      </c>
      <c r="V783">
        <v>14</v>
      </c>
      <c r="W783">
        <v>2</v>
      </c>
      <c r="X783">
        <v>15</v>
      </c>
      <c r="Y783">
        <v>0</v>
      </c>
      <c r="Z783">
        <v>35</v>
      </c>
      <c r="AA783">
        <v>70</v>
      </c>
      <c r="AB783">
        <v>54</v>
      </c>
      <c r="AC783">
        <v>45</v>
      </c>
      <c r="AD783">
        <v>65</v>
      </c>
      <c r="AE783">
        <v>40</v>
      </c>
      <c r="AF783">
        <v>49</v>
      </c>
      <c r="AG783">
        <v>70</v>
      </c>
      <c r="AH783">
        <v>0</v>
      </c>
      <c r="AI783">
        <v>49</v>
      </c>
      <c r="AJ783">
        <v>785</v>
      </c>
      <c r="AK783">
        <v>744</v>
      </c>
      <c r="AL783">
        <v>772</v>
      </c>
      <c r="AM783">
        <v>-1</v>
      </c>
      <c r="AN783">
        <v>2</v>
      </c>
      <c r="AO783">
        <v>2</v>
      </c>
      <c r="AP783">
        <v>2</v>
      </c>
      <c r="AQ783">
        <v>0</v>
      </c>
      <c r="AR783">
        <f t="shared" si="2025"/>
        <v>6</v>
      </c>
      <c r="AS783">
        <f>IF(AND(IFERROR(VLOOKUP(AJ783,Equip!$A:$N,13,FALSE),0)&gt;=5,IFERROR(VLOOKUP(AJ783,Equip!$A:$N,13,FALSE),0)&lt;=9),INT(VLOOKUP(AJ783,Equip!$A:$N,6,FALSE)*SQRT(AN783)),0)</f>
        <v>0</v>
      </c>
      <c r="AT783">
        <f>IF(AND(IFERROR(VLOOKUP(AK783,Equip!$A:$N,13,FALSE),0)&gt;=5,IFERROR(VLOOKUP(AK783,Equip!$A:$N,13,FALSE),0)&lt;=9),INT(VLOOKUP(AK783,Equip!$A:$N,6,FALSE)*SQRT(AO783)),0)</f>
        <v>0</v>
      </c>
      <c r="AU783">
        <f>IF(AND(IFERROR(VLOOKUP(AL783,Equip!$A:$N,13,FALSE),0)&gt;=5,IFERROR(VLOOKUP(AL783,Equip!$A:$N,13,FALSE),0)&lt;=9),INT(VLOOKUP(AL783,Equip!$A:$N,6,FALSE)*SQRT(AP783)),0)</f>
        <v>0</v>
      </c>
      <c r="AV783">
        <f>IF(AND(IFERROR(VLOOKUP(AM783,Equip!$A:$N,13,FALSE),0)&gt;=5,IFERROR(VLOOKUP(AM783,Equip!$A:$N,13,FALSE),0)&lt;=9),INT(VLOOKUP(AM783,Equip!$A:$N,6,FALSE)*SQRT(AQ783)),0)</f>
        <v>0</v>
      </c>
      <c r="AW783">
        <f t="shared" si="1999"/>
        <v>0</v>
      </c>
      <c r="AX783">
        <f t="shared" si="2000"/>
        <v>372</v>
      </c>
    </row>
    <row r="784" spans="1:50">
      <c r="A784">
        <v>754</v>
      </c>
      <c r="B784" t="s">
        <v>1090</v>
      </c>
      <c r="C784" t="s">
        <v>1091</v>
      </c>
      <c r="D784">
        <v>1</v>
      </c>
      <c r="E784">
        <f t="shared" ref="E784:E785" si="2043">E783</f>
        <v>2082</v>
      </c>
      <c r="F784">
        <f t="shared" ref="F784:F785" si="2044">F783</f>
        <v>1090</v>
      </c>
      <c r="G784">
        <f t="shared" ref="G784:G785" si="2045">G783</f>
        <v>754</v>
      </c>
      <c r="H784">
        <f t="shared" ref="H784:H785" si="2046">H783</f>
        <v>1</v>
      </c>
      <c r="I784">
        <f t="shared" ref="I784:I785" si="2047">I783</f>
        <v>5</v>
      </c>
      <c r="J784">
        <f t="shared" ref="J784:J785" si="2048">J783</f>
        <v>9</v>
      </c>
      <c r="K784">
        <v>3</v>
      </c>
      <c r="L784">
        <v>4</v>
      </c>
      <c r="M784">
        <v>60</v>
      </c>
      <c r="N784">
        <v>60</v>
      </c>
      <c r="O784">
        <v>39</v>
      </c>
      <c r="P784">
        <v>35</v>
      </c>
      <c r="Q784">
        <v>25</v>
      </c>
      <c r="R784">
        <v>36</v>
      </c>
      <c r="S784">
        <v>50</v>
      </c>
      <c r="T784">
        <v>0</v>
      </c>
      <c r="U784">
        <f t="shared" ref="U784:U785" si="2049">U783</f>
        <v>10</v>
      </c>
      <c r="V784">
        <v>24</v>
      </c>
      <c r="W784">
        <f t="shared" ref="W784:W785" si="2050">W783</f>
        <v>2</v>
      </c>
      <c r="X784">
        <v>17</v>
      </c>
      <c r="Y784">
        <f t="shared" ref="Y784:Y785" si="2051">Y783</f>
        <v>0</v>
      </c>
      <c r="Z784">
        <v>35</v>
      </c>
      <c r="AA784">
        <v>70</v>
      </c>
      <c r="AB784">
        <v>71</v>
      </c>
      <c r="AC784">
        <v>73</v>
      </c>
      <c r="AD784">
        <v>77</v>
      </c>
      <c r="AE784">
        <v>61</v>
      </c>
      <c r="AF784">
        <v>59</v>
      </c>
      <c r="AG784">
        <v>74</v>
      </c>
      <c r="AH784">
        <v>0</v>
      </c>
      <c r="AI784">
        <v>59</v>
      </c>
      <c r="AJ784">
        <v>785</v>
      </c>
      <c r="AK784">
        <v>746</v>
      </c>
      <c r="AL784">
        <v>711</v>
      </c>
      <c r="AM784">
        <v>0</v>
      </c>
      <c r="AN784">
        <v>2</v>
      </c>
      <c r="AO784">
        <v>2</v>
      </c>
      <c r="AP784">
        <v>2</v>
      </c>
      <c r="AQ784">
        <v>2</v>
      </c>
      <c r="AR784">
        <f t="shared" si="2025"/>
        <v>8</v>
      </c>
      <c r="AS784">
        <f>IF(AND(IFERROR(VLOOKUP(AJ784,Equip!$A:$N,13,FALSE),0)&gt;=5,IFERROR(VLOOKUP(AJ784,Equip!$A:$N,13,FALSE),0)&lt;=9),INT(VLOOKUP(AJ784,Equip!$A:$N,6,FALSE)*SQRT(AN784)),0)</f>
        <v>0</v>
      </c>
      <c r="AT784">
        <f>IF(AND(IFERROR(VLOOKUP(AK784,Equip!$A:$N,13,FALSE),0)&gt;=5,IFERROR(VLOOKUP(AK784,Equip!$A:$N,13,FALSE),0)&lt;=9),INT(VLOOKUP(AK784,Equip!$A:$N,6,FALSE)*SQRT(AO784)),0)</f>
        <v>0</v>
      </c>
      <c r="AU784">
        <f>IF(AND(IFERROR(VLOOKUP(AL784,Equip!$A:$N,13,FALSE),0)&gt;=5,IFERROR(VLOOKUP(AL784,Equip!$A:$N,13,FALSE),0)&lt;=9),INT(VLOOKUP(AL784,Equip!$A:$N,6,FALSE)*SQRT(AP784)),0)</f>
        <v>0</v>
      </c>
      <c r="AV784">
        <f>IF(AND(IFERROR(VLOOKUP(AM784,Equip!$A:$N,13,FALSE),0)&gt;=5,IFERROR(VLOOKUP(AM784,Equip!$A:$N,13,FALSE),0)&lt;=9),INT(VLOOKUP(AM784,Equip!$A:$N,6,FALSE)*SQRT(AQ784)),0)</f>
        <v>0</v>
      </c>
      <c r="AW784">
        <f t="shared" si="1999"/>
        <v>0</v>
      </c>
      <c r="AX784">
        <f t="shared" si="2000"/>
        <v>475</v>
      </c>
    </row>
    <row r="785" spans="1:50">
      <c r="A785">
        <v>754</v>
      </c>
      <c r="B785" t="s">
        <v>1090</v>
      </c>
      <c r="C785" t="s">
        <v>1091</v>
      </c>
      <c r="D785">
        <v>2</v>
      </c>
      <c r="E785">
        <f t="shared" si="2043"/>
        <v>2082</v>
      </c>
      <c r="F785">
        <f t="shared" si="2044"/>
        <v>1090</v>
      </c>
      <c r="G785">
        <f t="shared" si="2045"/>
        <v>754</v>
      </c>
      <c r="H785">
        <f t="shared" si="2046"/>
        <v>1</v>
      </c>
      <c r="I785">
        <f t="shared" si="2047"/>
        <v>5</v>
      </c>
      <c r="J785">
        <f t="shared" si="2048"/>
        <v>9</v>
      </c>
      <c r="K785">
        <v>3</v>
      </c>
      <c r="L785">
        <v>4</v>
      </c>
      <c r="M785">
        <v>68</v>
      </c>
      <c r="N785">
        <v>68</v>
      </c>
      <c r="O785">
        <v>42</v>
      </c>
      <c r="P785">
        <v>46</v>
      </c>
      <c r="Q785">
        <v>31</v>
      </c>
      <c r="R785">
        <v>44</v>
      </c>
      <c r="S785">
        <v>57</v>
      </c>
      <c r="T785">
        <v>0</v>
      </c>
      <c r="U785">
        <f t="shared" si="2049"/>
        <v>10</v>
      </c>
      <c r="V785">
        <v>27</v>
      </c>
      <c r="W785">
        <f t="shared" si="2050"/>
        <v>2</v>
      </c>
      <c r="X785">
        <v>20</v>
      </c>
      <c r="Y785">
        <f t="shared" si="2051"/>
        <v>0</v>
      </c>
      <c r="Z785">
        <v>40</v>
      </c>
      <c r="AA785">
        <v>75</v>
      </c>
      <c r="AB785">
        <v>74</v>
      </c>
      <c r="AC785">
        <v>79</v>
      </c>
      <c r="AD785">
        <v>86</v>
      </c>
      <c r="AE785">
        <v>74</v>
      </c>
      <c r="AF785">
        <v>69</v>
      </c>
      <c r="AG785">
        <v>82</v>
      </c>
      <c r="AH785">
        <v>0</v>
      </c>
      <c r="AI785">
        <v>65</v>
      </c>
      <c r="AJ785">
        <v>785</v>
      </c>
      <c r="AK785">
        <v>191</v>
      </c>
      <c r="AL785">
        <v>832</v>
      </c>
      <c r="AM785">
        <v>0</v>
      </c>
      <c r="AN785">
        <v>2</v>
      </c>
      <c r="AO785">
        <v>2</v>
      </c>
      <c r="AP785">
        <v>2</v>
      </c>
      <c r="AQ785">
        <v>2</v>
      </c>
      <c r="AR785">
        <f t="shared" si="2025"/>
        <v>8</v>
      </c>
      <c r="AS785">
        <f>IF(AND(IFERROR(VLOOKUP(AJ785,Equip!$A:$N,13,FALSE),0)&gt;=5,IFERROR(VLOOKUP(AJ785,Equip!$A:$N,13,FALSE),0)&lt;=9),INT(VLOOKUP(AJ785,Equip!$A:$N,6,FALSE)*SQRT(AN785)),0)</f>
        <v>0</v>
      </c>
      <c r="AT785">
        <f>IF(AND(IFERROR(VLOOKUP(AK785,Equip!$A:$N,13,FALSE),0)&gt;=5,IFERROR(VLOOKUP(AK785,Equip!$A:$N,13,FALSE),0)&lt;=9),INT(VLOOKUP(AK785,Equip!$A:$N,6,FALSE)*SQRT(AO785)),0)</f>
        <v>0</v>
      </c>
      <c r="AU785">
        <f>IF(AND(IFERROR(VLOOKUP(AL785,Equip!$A:$N,13,FALSE),0)&gt;=5,IFERROR(VLOOKUP(AL785,Equip!$A:$N,13,FALSE),0)&lt;=9),INT(VLOOKUP(AL785,Equip!$A:$N,6,FALSE)*SQRT(AP785)),0)</f>
        <v>0</v>
      </c>
      <c r="AV785">
        <f>IF(AND(IFERROR(VLOOKUP(AM785,Equip!$A:$N,13,FALSE),0)&gt;=5,IFERROR(VLOOKUP(AM785,Equip!$A:$N,13,FALSE),0)&lt;=9),INT(VLOOKUP(AM785,Equip!$A:$N,6,FALSE)*SQRT(AQ785)),0)</f>
        <v>0</v>
      </c>
      <c r="AW785">
        <f t="shared" si="1999"/>
        <v>0</v>
      </c>
      <c r="AX785">
        <f t="shared" si="2000"/>
        <v>528</v>
      </c>
    </row>
    <row r="786" spans="1:50">
      <c r="A786">
        <v>755</v>
      </c>
      <c r="B786" t="s">
        <v>1092</v>
      </c>
      <c r="C786" t="s">
        <v>1093</v>
      </c>
      <c r="D786">
        <v>0</v>
      </c>
      <c r="E786">
        <v>2679</v>
      </c>
      <c r="F786">
        <v>1423</v>
      </c>
      <c r="G786">
        <v>755</v>
      </c>
      <c r="H786">
        <v>2</v>
      </c>
      <c r="I786">
        <v>2</v>
      </c>
      <c r="J786">
        <v>11</v>
      </c>
      <c r="K786">
        <v>8</v>
      </c>
      <c r="L786">
        <v>6</v>
      </c>
      <c r="M786">
        <v>72</v>
      </c>
      <c r="N786">
        <v>72</v>
      </c>
      <c r="O786">
        <v>52</v>
      </c>
      <c r="P786">
        <v>70</v>
      </c>
      <c r="Q786">
        <v>12</v>
      </c>
      <c r="R786">
        <v>30</v>
      </c>
      <c r="S786">
        <v>25</v>
      </c>
      <c r="T786">
        <v>0</v>
      </c>
      <c r="U786">
        <v>10</v>
      </c>
      <c r="V786">
        <v>15</v>
      </c>
      <c r="W786">
        <v>3</v>
      </c>
      <c r="X786">
        <v>10</v>
      </c>
      <c r="Y786">
        <v>0</v>
      </c>
      <c r="Z786">
        <v>70</v>
      </c>
      <c r="AA786">
        <v>110</v>
      </c>
      <c r="AB786">
        <v>77</v>
      </c>
      <c r="AC786">
        <v>29</v>
      </c>
      <c r="AD786">
        <v>55</v>
      </c>
      <c r="AE786">
        <v>84</v>
      </c>
      <c r="AF786">
        <v>49</v>
      </c>
      <c r="AG786">
        <v>60</v>
      </c>
      <c r="AH786">
        <v>0</v>
      </c>
      <c r="AI786">
        <v>40</v>
      </c>
      <c r="AJ786">
        <v>734</v>
      </c>
      <c r="AK786">
        <v>77</v>
      </c>
      <c r="AL786">
        <v>771</v>
      </c>
      <c r="AM786">
        <v>0</v>
      </c>
      <c r="AN786">
        <v>3</v>
      </c>
      <c r="AO786">
        <v>3</v>
      </c>
      <c r="AP786">
        <v>3</v>
      </c>
      <c r="AQ786">
        <v>3</v>
      </c>
      <c r="AR786">
        <f t="shared" si="2025"/>
        <v>12</v>
      </c>
      <c r="AS786">
        <f>IF(AND(IFERROR(VLOOKUP(AJ786,Equip!$A:$N,13,FALSE),0)&gt;=5,IFERROR(VLOOKUP(AJ786,Equip!$A:$N,13,FALSE),0)&lt;=9),INT(VLOOKUP(AJ786,Equip!$A:$N,6,FALSE)*SQRT(AN786)),0)</f>
        <v>0</v>
      </c>
      <c r="AT786">
        <f>IF(AND(IFERROR(VLOOKUP(AK786,Equip!$A:$N,13,FALSE),0)&gt;=5,IFERROR(VLOOKUP(AK786,Equip!$A:$N,13,FALSE),0)&lt;=9),INT(VLOOKUP(AK786,Equip!$A:$N,6,FALSE)*SQRT(AO786)),0)</f>
        <v>0</v>
      </c>
      <c r="AU786">
        <f>IF(AND(IFERROR(VLOOKUP(AL786,Equip!$A:$N,13,FALSE),0)&gt;=5,IFERROR(VLOOKUP(AL786,Equip!$A:$N,13,FALSE),0)&lt;=9),INT(VLOOKUP(AL786,Equip!$A:$N,6,FALSE)*SQRT(AP786)),0)</f>
        <v>0</v>
      </c>
      <c r="AV786">
        <f>IF(AND(IFERROR(VLOOKUP(AM786,Equip!$A:$N,13,FALSE),0)&gt;=5,IFERROR(VLOOKUP(AM786,Equip!$A:$N,13,FALSE),0)&lt;=9),INT(VLOOKUP(AM786,Equip!$A:$N,6,FALSE)*SQRT(AQ786)),0)</f>
        <v>0</v>
      </c>
      <c r="AW786">
        <f t="shared" si="1999"/>
        <v>0</v>
      </c>
      <c r="AX786">
        <f t="shared" si="2000"/>
        <v>417</v>
      </c>
    </row>
    <row r="787" spans="1:50">
      <c r="A787">
        <v>755</v>
      </c>
      <c r="B787" t="s">
        <v>1092</v>
      </c>
      <c r="C787" t="s">
        <v>1093</v>
      </c>
      <c r="D787">
        <v>1</v>
      </c>
      <c r="E787">
        <f>E786</f>
        <v>2679</v>
      </c>
      <c r="F787">
        <f t="shared" ref="F787" si="2052">F786</f>
        <v>1423</v>
      </c>
      <c r="G787">
        <f t="shared" ref="G787" si="2053">G786</f>
        <v>755</v>
      </c>
      <c r="H787">
        <f t="shared" ref="H787" si="2054">H786</f>
        <v>2</v>
      </c>
      <c r="I787">
        <f t="shared" ref="I787" si="2055">I786</f>
        <v>2</v>
      </c>
      <c r="J787">
        <f t="shared" ref="J787" si="2056">J786</f>
        <v>11</v>
      </c>
      <c r="K787">
        <v>8</v>
      </c>
      <c r="L787">
        <v>6</v>
      </c>
      <c r="M787">
        <v>79</v>
      </c>
      <c r="N787">
        <v>79</v>
      </c>
      <c r="O787">
        <v>61</v>
      </c>
      <c r="P787">
        <v>79</v>
      </c>
      <c r="Q787">
        <v>18</v>
      </c>
      <c r="R787">
        <v>39</v>
      </c>
      <c r="S787">
        <v>35</v>
      </c>
      <c r="T787">
        <v>0</v>
      </c>
      <c r="U787">
        <f t="shared" ref="U787" si="2057">U786</f>
        <v>10</v>
      </c>
      <c r="V787">
        <v>25</v>
      </c>
      <c r="W787">
        <f t="shared" ref="W787" si="2058">W786</f>
        <v>3</v>
      </c>
      <c r="X787">
        <v>12</v>
      </c>
      <c r="Y787">
        <f t="shared" ref="Y787" si="2059">Y786</f>
        <v>0</v>
      </c>
      <c r="Z787">
        <v>80</v>
      </c>
      <c r="AA787">
        <v>120</v>
      </c>
      <c r="AB787">
        <v>82</v>
      </c>
      <c r="AC787">
        <v>36</v>
      </c>
      <c r="AD787">
        <v>68</v>
      </c>
      <c r="AE787">
        <v>94</v>
      </c>
      <c r="AF787">
        <v>59</v>
      </c>
      <c r="AG787">
        <v>69</v>
      </c>
      <c r="AH787">
        <v>0</v>
      </c>
      <c r="AI787">
        <v>51</v>
      </c>
      <c r="AJ787">
        <v>734</v>
      </c>
      <c r="AK787">
        <v>77</v>
      </c>
      <c r="AL787">
        <v>774</v>
      </c>
      <c r="AM787">
        <v>0</v>
      </c>
      <c r="AN787">
        <v>3</v>
      </c>
      <c r="AO787">
        <v>3</v>
      </c>
      <c r="AP787">
        <v>3</v>
      </c>
      <c r="AQ787">
        <v>3</v>
      </c>
      <c r="AR787">
        <f t="shared" si="2025"/>
        <v>12</v>
      </c>
      <c r="AS787">
        <f>IF(AND(IFERROR(VLOOKUP(AJ787,Equip!$A:$N,13,FALSE),0)&gt;=5,IFERROR(VLOOKUP(AJ787,Equip!$A:$N,13,FALSE),0)&lt;=9),INT(VLOOKUP(AJ787,Equip!$A:$N,6,FALSE)*SQRT(AN787)),0)</f>
        <v>0</v>
      </c>
      <c r="AT787">
        <f>IF(AND(IFERROR(VLOOKUP(AK787,Equip!$A:$N,13,FALSE),0)&gt;=5,IFERROR(VLOOKUP(AK787,Equip!$A:$N,13,FALSE),0)&lt;=9),INT(VLOOKUP(AK787,Equip!$A:$N,6,FALSE)*SQRT(AO787)),0)</f>
        <v>0</v>
      </c>
      <c r="AU787">
        <f>IF(AND(IFERROR(VLOOKUP(AL787,Equip!$A:$N,13,FALSE),0)&gt;=5,IFERROR(VLOOKUP(AL787,Equip!$A:$N,13,FALSE),0)&lt;=9),INT(VLOOKUP(AL787,Equip!$A:$N,6,FALSE)*SQRT(AP787)),0)</f>
        <v>0</v>
      </c>
      <c r="AV787">
        <f>IF(AND(IFERROR(VLOOKUP(AM787,Equip!$A:$N,13,FALSE),0)&gt;=5,IFERROR(VLOOKUP(AM787,Equip!$A:$N,13,FALSE),0)&lt;=9),INT(VLOOKUP(AM787,Equip!$A:$N,6,FALSE)*SQRT(AQ787)),0)</f>
        <v>0</v>
      </c>
      <c r="AW787">
        <f t="shared" si="1999"/>
        <v>0</v>
      </c>
      <c r="AX787">
        <f t="shared" si="2000"/>
        <v>479</v>
      </c>
    </row>
    <row r="788" spans="1:50">
      <c r="A788">
        <v>756</v>
      </c>
      <c r="B788" t="s">
        <v>1094</v>
      </c>
      <c r="C788" t="s">
        <v>1095</v>
      </c>
      <c r="D788">
        <v>0</v>
      </c>
      <c r="E788">
        <v>1598</v>
      </c>
      <c r="F788">
        <v>924</v>
      </c>
      <c r="G788">
        <v>756</v>
      </c>
      <c r="H788">
        <v>1</v>
      </c>
      <c r="I788">
        <v>6</v>
      </c>
      <c r="J788">
        <v>4</v>
      </c>
      <c r="K788">
        <v>2</v>
      </c>
      <c r="L788">
        <v>2</v>
      </c>
      <c r="M788">
        <v>29</v>
      </c>
      <c r="N788">
        <v>29</v>
      </c>
      <c r="O788">
        <v>24</v>
      </c>
      <c r="P788">
        <v>19</v>
      </c>
      <c r="Q788">
        <v>14</v>
      </c>
      <c r="R788">
        <v>31</v>
      </c>
      <c r="S788">
        <v>48</v>
      </c>
      <c r="T788">
        <v>40</v>
      </c>
      <c r="U788">
        <v>10</v>
      </c>
      <c r="V788">
        <v>12</v>
      </c>
      <c r="W788">
        <v>1</v>
      </c>
      <c r="X788">
        <v>10</v>
      </c>
      <c r="Y788">
        <v>0</v>
      </c>
      <c r="Z788">
        <v>30</v>
      </c>
      <c r="AA788">
        <v>30</v>
      </c>
      <c r="AB788">
        <v>54</v>
      </c>
      <c r="AC788">
        <v>59</v>
      </c>
      <c r="AD788">
        <v>79</v>
      </c>
      <c r="AE788">
        <v>34</v>
      </c>
      <c r="AF788">
        <v>49</v>
      </c>
      <c r="AG788">
        <v>66</v>
      </c>
      <c r="AH788">
        <v>80</v>
      </c>
      <c r="AI788">
        <v>43</v>
      </c>
      <c r="AJ788">
        <v>724</v>
      </c>
      <c r="AK788">
        <v>752</v>
      </c>
      <c r="AL788">
        <v>772</v>
      </c>
      <c r="AM788">
        <v>-1</v>
      </c>
      <c r="AN788">
        <v>0</v>
      </c>
      <c r="AO788">
        <v>0</v>
      </c>
      <c r="AP788">
        <v>0</v>
      </c>
      <c r="AQ788">
        <v>0</v>
      </c>
      <c r="AR788">
        <f t="shared" si="2025"/>
        <v>0</v>
      </c>
      <c r="AS788">
        <f>IF(AND(IFERROR(VLOOKUP(AJ788,Equip!$A:$N,13,FALSE),0)&gt;=5,IFERROR(VLOOKUP(AJ788,Equip!$A:$N,13,FALSE),0)&lt;=9),INT(VLOOKUP(AJ788,Equip!$A:$N,6,FALSE)*SQRT(AN788)),0)</f>
        <v>0</v>
      </c>
      <c r="AT788">
        <f>IF(AND(IFERROR(VLOOKUP(AK788,Equip!$A:$N,13,FALSE),0)&gt;=5,IFERROR(VLOOKUP(AK788,Equip!$A:$N,13,FALSE),0)&lt;=9),INT(VLOOKUP(AK788,Equip!$A:$N,6,FALSE)*SQRT(AO788)),0)</f>
        <v>0</v>
      </c>
      <c r="AU788">
        <f>IF(AND(IFERROR(VLOOKUP(AL788,Equip!$A:$N,13,FALSE),0)&gt;=5,IFERROR(VLOOKUP(AL788,Equip!$A:$N,13,FALSE),0)&lt;=9),INT(VLOOKUP(AL788,Equip!$A:$N,6,FALSE)*SQRT(AP788)),0)</f>
        <v>0</v>
      </c>
      <c r="AV788">
        <f>IF(AND(IFERROR(VLOOKUP(AM788,Equip!$A:$N,13,FALSE),0)&gt;=5,IFERROR(VLOOKUP(AM788,Equip!$A:$N,13,FALSE),0)&lt;=9),INT(VLOOKUP(AM788,Equip!$A:$N,6,FALSE)*SQRT(AQ788)),0)</f>
        <v>0</v>
      </c>
      <c r="AW788">
        <f t="shared" si="1999"/>
        <v>0</v>
      </c>
      <c r="AX788">
        <f t="shared" si="2000"/>
        <v>444</v>
      </c>
    </row>
    <row r="789" spans="1:50">
      <c r="A789">
        <v>756</v>
      </c>
      <c r="B789" t="s">
        <v>1094</v>
      </c>
      <c r="C789" t="s">
        <v>1095</v>
      </c>
      <c r="D789">
        <v>1</v>
      </c>
      <c r="E789">
        <f>E788</f>
        <v>1598</v>
      </c>
      <c r="F789">
        <f t="shared" ref="F789" si="2060">F788</f>
        <v>924</v>
      </c>
      <c r="G789">
        <f t="shared" ref="G789" si="2061">G788</f>
        <v>756</v>
      </c>
      <c r="H789">
        <f t="shared" ref="H789" si="2062">H788</f>
        <v>1</v>
      </c>
      <c r="I789">
        <f t="shared" ref="I789" si="2063">I788</f>
        <v>6</v>
      </c>
      <c r="J789">
        <f t="shared" ref="J789" si="2064">J788</f>
        <v>4</v>
      </c>
      <c r="K789">
        <v>2</v>
      </c>
      <c r="L789">
        <v>2</v>
      </c>
      <c r="M789">
        <v>45</v>
      </c>
      <c r="N789">
        <v>45</v>
      </c>
      <c r="O789">
        <v>32</v>
      </c>
      <c r="P789">
        <v>28</v>
      </c>
      <c r="Q789">
        <v>24</v>
      </c>
      <c r="R789">
        <v>39</v>
      </c>
      <c r="S789">
        <v>70</v>
      </c>
      <c r="T789">
        <v>45</v>
      </c>
      <c r="U789">
        <f t="shared" ref="U789" si="2065">U788</f>
        <v>10</v>
      </c>
      <c r="V789">
        <v>18</v>
      </c>
      <c r="W789">
        <f t="shared" ref="W789" si="2066">W788</f>
        <v>1</v>
      </c>
      <c r="X789">
        <v>12</v>
      </c>
      <c r="Y789">
        <f t="shared" ref="Y789" si="2067">Y788</f>
        <v>0</v>
      </c>
      <c r="Z789">
        <v>35</v>
      </c>
      <c r="AA789">
        <v>40</v>
      </c>
      <c r="AB789">
        <v>67</v>
      </c>
      <c r="AC789">
        <v>69</v>
      </c>
      <c r="AD789">
        <v>101</v>
      </c>
      <c r="AE789">
        <v>63</v>
      </c>
      <c r="AF789">
        <v>59</v>
      </c>
      <c r="AG789">
        <v>73</v>
      </c>
      <c r="AH789">
        <v>84</v>
      </c>
      <c r="AI789">
        <v>55</v>
      </c>
      <c r="AJ789">
        <v>724</v>
      </c>
      <c r="AK789">
        <v>849</v>
      </c>
      <c r="AL789">
        <v>829</v>
      </c>
      <c r="AM789">
        <v>-1</v>
      </c>
      <c r="AN789">
        <v>0</v>
      </c>
      <c r="AO789">
        <v>0</v>
      </c>
      <c r="AP789">
        <v>0</v>
      </c>
      <c r="AQ789">
        <v>0</v>
      </c>
      <c r="AR789">
        <f t="shared" si="2025"/>
        <v>0</v>
      </c>
      <c r="AS789">
        <f>IF(AND(IFERROR(VLOOKUP(AJ789,Equip!$A:$N,13,FALSE),0)&gt;=5,IFERROR(VLOOKUP(AJ789,Equip!$A:$N,13,FALSE),0)&lt;=9),INT(VLOOKUP(AJ789,Equip!$A:$N,6,FALSE)*SQRT(AN789)),0)</f>
        <v>0</v>
      </c>
      <c r="AT789">
        <f>IF(AND(IFERROR(VLOOKUP(AK789,Equip!$A:$N,13,FALSE),0)&gt;=5,IFERROR(VLOOKUP(AK789,Equip!$A:$N,13,FALSE),0)&lt;=9),INT(VLOOKUP(AK789,Equip!$A:$N,6,FALSE)*SQRT(AO789)),0)</f>
        <v>0</v>
      </c>
      <c r="AU789">
        <f>IF(AND(IFERROR(VLOOKUP(AL789,Equip!$A:$N,13,FALSE),0)&gt;=5,IFERROR(VLOOKUP(AL789,Equip!$A:$N,13,FALSE),0)&lt;=9),INT(VLOOKUP(AL789,Equip!$A:$N,6,FALSE)*SQRT(AP789)),0)</f>
        <v>0</v>
      </c>
      <c r="AV789">
        <f>IF(AND(IFERROR(VLOOKUP(AM789,Equip!$A:$N,13,FALSE),0)&gt;=5,IFERROR(VLOOKUP(AM789,Equip!$A:$N,13,FALSE),0)&lt;=9),INT(VLOOKUP(AM789,Equip!$A:$N,6,FALSE)*SQRT(AQ789)),0)</f>
        <v>0</v>
      </c>
      <c r="AW789">
        <f t="shared" si="1999"/>
        <v>0</v>
      </c>
      <c r="AX789">
        <f t="shared" si="2000"/>
        <v>557</v>
      </c>
    </row>
    <row r="790" spans="1:50">
      <c r="A790">
        <v>757</v>
      </c>
      <c r="B790" t="s">
        <v>855</v>
      </c>
      <c r="C790" t="s">
        <v>855</v>
      </c>
      <c r="D790">
        <v>0</v>
      </c>
      <c r="E790">
        <v>2561</v>
      </c>
      <c r="F790">
        <v>1395</v>
      </c>
      <c r="G790">
        <v>153</v>
      </c>
      <c r="H790">
        <v>1</v>
      </c>
      <c r="I790">
        <v>1</v>
      </c>
      <c r="J790">
        <v>6</v>
      </c>
      <c r="K790">
        <v>11</v>
      </c>
      <c r="L790">
        <v>4</v>
      </c>
      <c r="M790">
        <v>67</v>
      </c>
      <c r="N790">
        <v>67</v>
      </c>
      <c r="O790">
        <v>0</v>
      </c>
      <c r="P790">
        <v>40</v>
      </c>
      <c r="Q790">
        <v>0</v>
      </c>
      <c r="R790">
        <v>33</v>
      </c>
      <c r="S790">
        <v>42</v>
      </c>
      <c r="T790">
        <v>0</v>
      </c>
      <c r="U790">
        <v>10</v>
      </c>
      <c r="V790">
        <v>47</v>
      </c>
      <c r="W790">
        <v>1</v>
      </c>
      <c r="X790">
        <v>3</v>
      </c>
      <c r="Y790">
        <v>0</v>
      </c>
      <c r="Z790">
        <v>70</v>
      </c>
      <c r="AA790">
        <v>65</v>
      </c>
      <c r="AB790">
        <v>49</v>
      </c>
      <c r="AC790">
        <v>0</v>
      </c>
      <c r="AD790">
        <v>79</v>
      </c>
      <c r="AE790">
        <v>79</v>
      </c>
      <c r="AF790">
        <v>29</v>
      </c>
      <c r="AG790">
        <v>57</v>
      </c>
      <c r="AH790">
        <v>0</v>
      </c>
      <c r="AI790">
        <v>74</v>
      </c>
      <c r="AJ790">
        <v>60</v>
      </c>
      <c r="AK790">
        <v>24</v>
      </c>
      <c r="AL790">
        <v>17</v>
      </c>
      <c r="AM790">
        <v>0</v>
      </c>
      <c r="AN790">
        <v>18</v>
      </c>
      <c r="AO790">
        <v>24</v>
      </c>
      <c r="AP790">
        <v>12</v>
      </c>
      <c r="AQ790">
        <v>6</v>
      </c>
      <c r="AR790">
        <f t="shared" si="2025"/>
        <v>60</v>
      </c>
      <c r="AS790">
        <f>IF(AND(IFERROR(VLOOKUP(AJ790,Equip!$A:$N,13,FALSE),0)&gt;=5,IFERROR(VLOOKUP(AJ790,Equip!$A:$N,13,FALSE),0)&lt;=9),INT(VLOOKUP(AJ790,Equip!$A:$N,6,FALSE)*SQRT(AN790)),0)</f>
        <v>0</v>
      </c>
      <c r="AT790">
        <f>IF(AND(IFERROR(VLOOKUP(AK790,Equip!$A:$N,13,FALSE),0)&gt;=5,IFERROR(VLOOKUP(AK790,Equip!$A:$N,13,FALSE),0)&lt;=9),INT(VLOOKUP(AK790,Equip!$A:$N,6,FALSE)*SQRT(AO790)),0)</f>
        <v>0</v>
      </c>
      <c r="AU790">
        <f>IF(AND(IFERROR(VLOOKUP(AL790,Equip!$A:$N,13,FALSE),0)&gt;=5,IFERROR(VLOOKUP(AL790,Equip!$A:$N,13,FALSE),0)&lt;=9),INT(VLOOKUP(AL790,Equip!$A:$N,6,FALSE)*SQRT(AP790)),0)</f>
        <v>0</v>
      </c>
      <c r="AV790">
        <f>IF(AND(IFERROR(VLOOKUP(AM790,Equip!$A:$N,13,FALSE),0)&gt;=5,IFERROR(VLOOKUP(AM790,Equip!$A:$N,13,FALSE),0)&lt;=9),INT(VLOOKUP(AM790,Equip!$A:$N,6,FALSE)*SQRT(AQ790)),0)</f>
        <v>0</v>
      </c>
      <c r="AW790">
        <f t="shared" si="1999"/>
        <v>0</v>
      </c>
      <c r="AX790">
        <f t="shared" si="2000"/>
        <v>405</v>
      </c>
    </row>
    <row r="791" spans="1:50">
      <c r="A791">
        <v>757</v>
      </c>
      <c r="B791" t="s">
        <v>855</v>
      </c>
      <c r="C791" t="s">
        <v>855</v>
      </c>
      <c r="D791">
        <v>1</v>
      </c>
      <c r="E791">
        <f>E790</f>
        <v>2561</v>
      </c>
      <c r="F791">
        <f t="shared" ref="F791" si="2068">F790</f>
        <v>1395</v>
      </c>
      <c r="G791">
        <f t="shared" ref="G791" si="2069">G790</f>
        <v>153</v>
      </c>
      <c r="H791">
        <f t="shared" ref="H791" si="2070">H790</f>
        <v>1</v>
      </c>
      <c r="I791">
        <f t="shared" ref="I791" si="2071">I790</f>
        <v>1</v>
      </c>
      <c r="J791">
        <f t="shared" ref="J791" si="2072">J790</f>
        <v>6</v>
      </c>
      <c r="K791">
        <v>11</v>
      </c>
      <c r="L791">
        <v>4</v>
      </c>
      <c r="M791">
        <v>81</v>
      </c>
      <c r="N791">
        <v>81</v>
      </c>
      <c r="O791">
        <v>0</v>
      </c>
      <c r="P791">
        <v>44</v>
      </c>
      <c r="Q791">
        <v>0</v>
      </c>
      <c r="R791">
        <v>34</v>
      </c>
      <c r="S791">
        <v>45</v>
      </c>
      <c r="T791">
        <v>0</v>
      </c>
      <c r="U791">
        <f t="shared" ref="U791" si="2073">U790</f>
        <v>10</v>
      </c>
      <c r="V791">
        <v>50</v>
      </c>
      <c r="W791">
        <f t="shared" ref="W791" si="2074">W790</f>
        <v>1</v>
      </c>
      <c r="X791">
        <v>6</v>
      </c>
      <c r="Y791">
        <f t="shared" ref="Y791" si="2075">Y790</f>
        <v>0</v>
      </c>
      <c r="Z791">
        <v>90</v>
      </c>
      <c r="AA791">
        <v>75</v>
      </c>
      <c r="AB791">
        <v>54</v>
      </c>
      <c r="AC791">
        <v>0</v>
      </c>
      <c r="AD791">
        <v>77</v>
      </c>
      <c r="AE791">
        <v>85</v>
      </c>
      <c r="AF791">
        <v>39</v>
      </c>
      <c r="AG791">
        <v>62</v>
      </c>
      <c r="AH791">
        <v>0</v>
      </c>
      <c r="AI791">
        <v>79</v>
      </c>
      <c r="AJ791">
        <v>18</v>
      </c>
      <c r="AK791">
        <v>21</v>
      </c>
      <c r="AL791">
        <v>151</v>
      </c>
      <c r="AM791">
        <v>51</v>
      </c>
      <c r="AN791">
        <v>24</v>
      </c>
      <c r="AO791">
        <v>30</v>
      </c>
      <c r="AP791">
        <v>18</v>
      </c>
      <c r="AQ791">
        <v>12</v>
      </c>
      <c r="AR791">
        <f t="shared" si="2025"/>
        <v>84</v>
      </c>
      <c r="AS791">
        <f>IF(AND(IFERROR(VLOOKUP(AJ791,Equip!$A:$N,13,FALSE),0)&gt;=5,IFERROR(VLOOKUP(AJ791,Equip!$A:$N,13,FALSE),0)&lt;=9),INT(VLOOKUP(AJ791,Equip!$A:$N,6,FALSE)*SQRT(AN791)),0)</f>
        <v>0</v>
      </c>
      <c r="AT791">
        <f>IF(AND(IFERROR(VLOOKUP(AK791,Equip!$A:$N,13,FALSE),0)&gt;=5,IFERROR(VLOOKUP(AK791,Equip!$A:$N,13,FALSE),0)&lt;=9),INT(VLOOKUP(AK791,Equip!$A:$N,6,FALSE)*SQRT(AO791)),0)</f>
        <v>0</v>
      </c>
      <c r="AU791">
        <f>IF(AND(IFERROR(VLOOKUP(AL791,Equip!$A:$N,13,FALSE),0)&gt;=5,IFERROR(VLOOKUP(AL791,Equip!$A:$N,13,FALSE),0)&lt;=9),INT(VLOOKUP(AL791,Equip!$A:$N,6,FALSE)*SQRT(AP791)),0)</f>
        <v>0</v>
      </c>
      <c r="AV791">
        <f>IF(AND(IFERROR(VLOOKUP(AM791,Equip!$A:$N,13,FALSE),0)&gt;=5,IFERROR(VLOOKUP(AM791,Equip!$A:$N,13,FALSE),0)&lt;=9),INT(VLOOKUP(AM791,Equip!$A:$N,6,FALSE)*SQRT(AQ791)),0)</f>
        <v>0</v>
      </c>
      <c r="AW791">
        <f t="shared" si="1999"/>
        <v>0</v>
      </c>
      <c r="AX791">
        <f t="shared" si="2000"/>
        <v>438</v>
      </c>
    </row>
    <row r="792" spans="1:50">
      <c r="A792">
        <v>758</v>
      </c>
      <c r="B792" t="s">
        <v>785</v>
      </c>
      <c r="C792" t="s">
        <v>785</v>
      </c>
      <c r="D792">
        <v>0</v>
      </c>
      <c r="E792">
        <v>1932</v>
      </c>
      <c r="F792">
        <v>1066</v>
      </c>
      <c r="G792">
        <v>51</v>
      </c>
      <c r="H792">
        <v>1</v>
      </c>
      <c r="I792">
        <v>1</v>
      </c>
      <c r="J792">
        <v>3</v>
      </c>
      <c r="K792">
        <v>3</v>
      </c>
      <c r="L792">
        <v>4</v>
      </c>
      <c r="M792">
        <v>42</v>
      </c>
      <c r="N792">
        <v>42</v>
      </c>
      <c r="O792">
        <v>40</v>
      </c>
      <c r="P792">
        <v>31</v>
      </c>
      <c r="Q792">
        <v>18</v>
      </c>
      <c r="R792">
        <v>35</v>
      </c>
      <c r="S792">
        <v>20</v>
      </c>
      <c r="T792">
        <v>0</v>
      </c>
      <c r="U792">
        <v>10</v>
      </c>
      <c r="V792">
        <v>14</v>
      </c>
      <c r="W792">
        <v>2</v>
      </c>
      <c r="X792">
        <v>10</v>
      </c>
      <c r="Y792">
        <v>0</v>
      </c>
      <c r="Z792">
        <v>15</v>
      </c>
      <c r="AA792">
        <v>15</v>
      </c>
      <c r="AB792">
        <v>61</v>
      </c>
      <c r="AC792">
        <v>67</v>
      </c>
      <c r="AD792">
        <v>55</v>
      </c>
      <c r="AE792">
        <v>57</v>
      </c>
      <c r="AF792">
        <v>39</v>
      </c>
      <c r="AG792">
        <v>72</v>
      </c>
      <c r="AH792">
        <v>0</v>
      </c>
      <c r="AI792">
        <v>41</v>
      </c>
      <c r="AJ792">
        <v>5</v>
      </c>
      <c r="AK792">
        <v>25</v>
      </c>
      <c r="AL792">
        <v>0</v>
      </c>
      <c r="AM792">
        <v>-1</v>
      </c>
      <c r="AN792">
        <v>0</v>
      </c>
      <c r="AO792">
        <v>0</v>
      </c>
      <c r="AP792">
        <v>6</v>
      </c>
      <c r="AQ792">
        <v>0</v>
      </c>
      <c r="AR792">
        <f t="shared" si="2025"/>
        <v>6</v>
      </c>
      <c r="AS792">
        <f>IF(AND(IFERROR(VLOOKUP(AJ792,Equip!$A:$N,13,FALSE),0)&gt;=5,IFERROR(VLOOKUP(AJ792,Equip!$A:$N,13,FALSE),0)&lt;=9),INT(VLOOKUP(AJ792,Equip!$A:$N,6,FALSE)*SQRT(AN792)),0)</f>
        <v>0</v>
      </c>
      <c r="AT792">
        <f>IF(AND(IFERROR(VLOOKUP(AK792,Equip!$A:$N,13,FALSE),0)&gt;=5,IFERROR(VLOOKUP(AK792,Equip!$A:$N,13,FALSE),0)&lt;=9),INT(VLOOKUP(AK792,Equip!$A:$N,6,FALSE)*SQRT(AO792)),0)</f>
        <v>0</v>
      </c>
      <c r="AU792">
        <f>IF(AND(IFERROR(VLOOKUP(AL792,Equip!$A:$N,13,FALSE),0)&gt;=5,IFERROR(VLOOKUP(AL792,Equip!$A:$N,13,FALSE),0)&lt;=9),INT(VLOOKUP(AL792,Equip!$A:$N,6,FALSE)*SQRT(AP792)),0)</f>
        <v>0</v>
      </c>
      <c r="AV792">
        <f>IF(AND(IFERROR(VLOOKUP(AM792,Equip!$A:$N,13,FALSE),0)&gt;=5,IFERROR(VLOOKUP(AM792,Equip!$A:$N,13,FALSE),0)&lt;=9),INT(VLOOKUP(AM792,Equip!$A:$N,6,FALSE)*SQRT(AQ792)),0)</f>
        <v>0</v>
      </c>
      <c r="AW792">
        <f t="shared" si="1999"/>
        <v>0</v>
      </c>
      <c r="AX792">
        <f t="shared" si="2000"/>
        <v>395</v>
      </c>
    </row>
    <row r="793" spans="1:50">
      <c r="A793">
        <v>758</v>
      </c>
      <c r="B793" t="s">
        <v>785</v>
      </c>
      <c r="C793" t="s">
        <v>785</v>
      </c>
      <c r="D793">
        <v>1</v>
      </c>
      <c r="E793">
        <f>E792</f>
        <v>1932</v>
      </c>
      <c r="F793">
        <f t="shared" ref="F793" si="2076">F792</f>
        <v>1066</v>
      </c>
      <c r="G793">
        <f t="shared" ref="G793" si="2077">G792</f>
        <v>51</v>
      </c>
      <c r="H793">
        <f t="shared" ref="H793" si="2078">H792</f>
        <v>1</v>
      </c>
      <c r="I793">
        <f t="shared" ref="I793" si="2079">I792</f>
        <v>1</v>
      </c>
      <c r="J793">
        <f t="shared" ref="J793" si="2080">J792</f>
        <v>3</v>
      </c>
      <c r="K793">
        <v>5</v>
      </c>
      <c r="L793">
        <v>4</v>
      </c>
      <c r="M793">
        <v>51</v>
      </c>
      <c r="N793">
        <v>51</v>
      </c>
      <c r="O793">
        <v>28</v>
      </c>
      <c r="P793">
        <v>39</v>
      </c>
      <c r="Q793">
        <v>23</v>
      </c>
      <c r="R793">
        <v>38</v>
      </c>
      <c r="S793">
        <v>24</v>
      </c>
      <c r="T793">
        <v>0</v>
      </c>
      <c r="U793">
        <f t="shared" ref="U793" si="2081">U792</f>
        <v>10</v>
      </c>
      <c r="V793">
        <v>25</v>
      </c>
      <c r="W793">
        <f t="shared" ref="W793" si="2082">W792</f>
        <v>2</v>
      </c>
      <c r="X793">
        <v>10</v>
      </c>
      <c r="Y793">
        <f t="shared" ref="Y793" si="2083">Y792</f>
        <v>0</v>
      </c>
      <c r="Z793">
        <v>50</v>
      </c>
      <c r="AA793">
        <v>55</v>
      </c>
      <c r="AB793">
        <v>77</v>
      </c>
      <c r="AC793">
        <v>69</v>
      </c>
      <c r="AD793">
        <v>60</v>
      </c>
      <c r="AE793">
        <v>69</v>
      </c>
      <c r="AF793">
        <v>69</v>
      </c>
      <c r="AG793">
        <v>72</v>
      </c>
      <c r="AH793">
        <v>0</v>
      </c>
      <c r="AI793">
        <v>59</v>
      </c>
      <c r="AJ793">
        <v>6</v>
      </c>
      <c r="AK793">
        <v>26</v>
      </c>
      <c r="AL793">
        <v>25</v>
      </c>
      <c r="AM793">
        <v>0</v>
      </c>
      <c r="AN793">
        <v>0</v>
      </c>
      <c r="AO793">
        <v>0</v>
      </c>
      <c r="AP793">
        <v>7</v>
      </c>
      <c r="AQ793">
        <v>20</v>
      </c>
      <c r="AR793">
        <f t="shared" si="2025"/>
        <v>27</v>
      </c>
      <c r="AS793">
        <f>IF(AND(IFERROR(VLOOKUP(AJ793,Equip!$A:$N,13,FALSE),0)&gt;=5,IFERROR(VLOOKUP(AJ793,Equip!$A:$N,13,FALSE),0)&lt;=9),INT(VLOOKUP(AJ793,Equip!$A:$N,6,FALSE)*SQRT(AN793)),0)</f>
        <v>0</v>
      </c>
      <c r="AT793">
        <f>IF(AND(IFERROR(VLOOKUP(AK793,Equip!$A:$N,13,FALSE),0)&gt;=5,IFERROR(VLOOKUP(AK793,Equip!$A:$N,13,FALSE),0)&lt;=9),INT(VLOOKUP(AK793,Equip!$A:$N,6,FALSE)*SQRT(AO793)),0)</f>
        <v>0</v>
      </c>
      <c r="AU793">
        <f>IF(AND(IFERROR(VLOOKUP(AL793,Equip!$A:$N,13,FALSE),0)&gt;=5,IFERROR(VLOOKUP(AL793,Equip!$A:$N,13,FALSE),0)&lt;=9),INT(VLOOKUP(AL793,Equip!$A:$N,6,FALSE)*SQRT(AP793)),0)</f>
        <v>0</v>
      </c>
      <c r="AV793">
        <f>IF(AND(IFERROR(VLOOKUP(AM793,Equip!$A:$N,13,FALSE),0)&gt;=5,IFERROR(VLOOKUP(AM793,Equip!$A:$N,13,FALSE),0)&lt;=9),INT(VLOOKUP(AM793,Equip!$A:$N,6,FALSE)*SQRT(AQ793)),0)</f>
        <v>0</v>
      </c>
      <c r="AW793">
        <f t="shared" si="1999"/>
        <v>0</v>
      </c>
      <c r="AX793">
        <f t="shared" si="2000"/>
        <v>457</v>
      </c>
    </row>
    <row r="794" spans="1:50">
      <c r="A794">
        <v>759</v>
      </c>
      <c r="B794" t="s">
        <v>1096</v>
      </c>
      <c r="C794" t="s">
        <v>1097</v>
      </c>
      <c r="D794">
        <v>0</v>
      </c>
      <c r="E794">
        <v>1333</v>
      </c>
      <c r="F794">
        <v>760</v>
      </c>
      <c r="G794">
        <v>759</v>
      </c>
      <c r="H794">
        <v>1</v>
      </c>
      <c r="I794">
        <v>6</v>
      </c>
      <c r="J794">
        <v>4</v>
      </c>
      <c r="K794">
        <v>2</v>
      </c>
      <c r="L794">
        <v>2</v>
      </c>
      <c r="M794">
        <v>30</v>
      </c>
      <c r="N794">
        <v>30</v>
      </c>
      <c r="O794">
        <v>20</v>
      </c>
      <c r="P794">
        <v>15</v>
      </c>
      <c r="Q794">
        <v>18</v>
      </c>
      <c r="R794">
        <v>32</v>
      </c>
      <c r="S794">
        <v>30</v>
      </c>
      <c r="T794">
        <v>18</v>
      </c>
      <c r="U794">
        <v>10</v>
      </c>
      <c r="V794">
        <v>10</v>
      </c>
      <c r="W794">
        <v>2</v>
      </c>
      <c r="X794">
        <v>15</v>
      </c>
      <c r="Y794">
        <v>0</v>
      </c>
      <c r="Z794">
        <v>30</v>
      </c>
      <c r="AA794">
        <v>25</v>
      </c>
      <c r="AB794">
        <v>45</v>
      </c>
      <c r="AC794">
        <v>64</v>
      </c>
      <c r="AD794">
        <v>59</v>
      </c>
      <c r="AE794">
        <v>29</v>
      </c>
      <c r="AF794">
        <v>59</v>
      </c>
      <c r="AG794">
        <v>67</v>
      </c>
      <c r="AH794">
        <v>58</v>
      </c>
      <c r="AI794">
        <v>41</v>
      </c>
      <c r="AJ794">
        <v>724</v>
      </c>
      <c r="AK794">
        <v>725</v>
      </c>
      <c r="AL794">
        <v>749</v>
      </c>
      <c r="AM794">
        <v>-1</v>
      </c>
      <c r="AN794">
        <v>2</v>
      </c>
      <c r="AO794">
        <v>2</v>
      </c>
      <c r="AP794">
        <v>2</v>
      </c>
      <c r="AQ794">
        <v>0</v>
      </c>
      <c r="AR794">
        <f t="shared" si="2025"/>
        <v>6</v>
      </c>
      <c r="AS794">
        <f>IF(AND(IFERROR(VLOOKUP(AJ794,Equip!$A:$N,13,FALSE),0)&gt;=5,IFERROR(VLOOKUP(AJ794,Equip!$A:$N,13,FALSE),0)&lt;=9),INT(VLOOKUP(AJ794,Equip!$A:$N,6,FALSE)*SQRT(AN794)),0)</f>
        <v>0</v>
      </c>
      <c r="AT794">
        <f>IF(AND(IFERROR(VLOOKUP(AK794,Equip!$A:$N,13,FALSE),0)&gt;=5,IFERROR(VLOOKUP(AK794,Equip!$A:$N,13,FALSE),0)&lt;=9),INT(VLOOKUP(AK794,Equip!$A:$N,6,FALSE)*SQRT(AO794)),0)</f>
        <v>0</v>
      </c>
      <c r="AU794">
        <f>IF(AND(IFERROR(VLOOKUP(AL794,Equip!$A:$N,13,FALSE),0)&gt;=5,IFERROR(VLOOKUP(AL794,Equip!$A:$N,13,FALSE),0)&lt;=9),INT(VLOOKUP(AL794,Equip!$A:$N,6,FALSE)*SQRT(AP794)),0)</f>
        <v>0</v>
      </c>
      <c r="AV794">
        <f>IF(AND(IFERROR(VLOOKUP(AM794,Equip!$A:$N,13,FALSE),0)&gt;=5,IFERROR(VLOOKUP(AM794,Equip!$A:$N,13,FALSE),0)&lt;=9),INT(VLOOKUP(AM794,Equip!$A:$N,6,FALSE)*SQRT(AQ794)),0)</f>
        <v>0</v>
      </c>
      <c r="AW794">
        <f t="shared" si="1999"/>
        <v>0</v>
      </c>
      <c r="AX794">
        <f t="shared" si="2000"/>
        <v>393</v>
      </c>
    </row>
    <row r="795" spans="1:50">
      <c r="A795">
        <v>759</v>
      </c>
      <c r="B795" t="s">
        <v>1096</v>
      </c>
      <c r="C795" t="s">
        <v>1097</v>
      </c>
      <c r="D795">
        <v>1</v>
      </c>
      <c r="E795">
        <f>E794</f>
        <v>1333</v>
      </c>
      <c r="F795">
        <f t="shared" ref="F795" si="2084">F794</f>
        <v>760</v>
      </c>
      <c r="G795">
        <f t="shared" ref="G795" si="2085">G794</f>
        <v>759</v>
      </c>
      <c r="H795">
        <f t="shared" ref="H795" si="2086">H794</f>
        <v>1</v>
      </c>
      <c r="I795">
        <f t="shared" ref="I795" si="2087">I794</f>
        <v>6</v>
      </c>
      <c r="J795">
        <f t="shared" ref="J795" si="2088">J794</f>
        <v>4</v>
      </c>
      <c r="K795">
        <v>2</v>
      </c>
      <c r="L795">
        <v>2</v>
      </c>
      <c r="M795">
        <v>45</v>
      </c>
      <c r="N795">
        <v>45</v>
      </c>
      <c r="O795">
        <v>28</v>
      </c>
      <c r="P795">
        <v>22</v>
      </c>
      <c r="Q795">
        <v>25</v>
      </c>
      <c r="R795">
        <v>40</v>
      </c>
      <c r="S795">
        <v>40</v>
      </c>
      <c r="T795">
        <v>28</v>
      </c>
      <c r="U795">
        <f t="shared" ref="U795" si="2089">U794</f>
        <v>10</v>
      </c>
      <c r="V795">
        <v>12</v>
      </c>
      <c r="W795">
        <f t="shared" ref="W795" si="2090">W794</f>
        <v>2</v>
      </c>
      <c r="X795">
        <v>20</v>
      </c>
      <c r="Y795">
        <f t="shared" ref="Y795" si="2091">Y794</f>
        <v>0</v>
      </c>
      <c r="Z795">
        <v>30</v>
      </c>
      <c r="AA795">
        <v>35</v>
      </c>
      <c r="AB795">
        <v>64</v>
      </c>
      <c r="AC795">
        <v>75</v>
      </c>
      <c r="AD795">
        <v>73</v>
      </c>
      <c r="AE795">
        <v>68</v>
      </c>
      <c r="AF795">
        <v>69</v>
      </c>
      <c r="AG795">
        <v>75</v>
      </c>
      <c r="AH795">
        <v>68</v>
      </c>
      <c r="AI795">
        <v>50</v>
      </c>
      <c r="AJ795">
        <v>724</v>
      </c>
      <c r="AK795">
        <v>750</v>
      </c>
      <c r="AL795">
        <v>748</v>
      </c>
      <c r="AM795">
        <v>-1</v>
      </c>
      <c r="AN795">
        <v>2</v>
      </c>
      <c r="AO795">
        <v>2</v>
      </c>
      <c r="AP795">
        <v>2</v>
      </c>
      <c r="AQ795">
        <v>0</v>
      </c>
      <c r="AR795">
        <f t="shared" si="2025"/>
        <v>6</v>
      </c>
      <c r="AS795">
        <f>IF(AND(IFERROR(VLOOKUP(AJ795,Equip!$A:$N,13,FALSE),0)&gt;=5,IFERROR(VLOOKUP(AJ795,Equip!$A:$N,13,FALSE),0)&lt;=9),INT(VLOOKUP(AJ795,Equip!$A:$N,6,FALSE)*SQRT(AN795)),0)</f>
        <v>0</v>
      </c>
      <c r="AT795">
        <f>IF(AND(IFERROR(VLOOKUP(AK795,Equip!$A:$N,13,FALSE),0)&gt;=5,IFERROR(VLOOKUP(AK795,Equip!$A:$N,13,FALSE),0)&lt;=9),INT(VLOOKUP(AK795,Equip!$A:$N,6,FALSE)*SQRT(AO795)),0)</f>
        <v>0</v>
      </c>
      <c r="AU795">
        <f>IF(AND(IFERROR(VLOOKUP(AL795,Equip!$A:$N,13,FALSE),0)&gt;=5,IFERROR(VLOOKUP(AL795,Equip!$A:$N,13,FALSE),0)&lt;=9),INT(VLOOKUP(AL795,Equip!$A:$N,6,FALSE)*SQRT(AP795)),0)</f>
        <v>0</v>
      </c>
      <c r="AV795">
        <f>IF(AND(IFERROR(VLOOKUP(AM795,Equip!$A:$N,13,FALSE),0)&gt;=5,IFERROR(VLOOKUP(AM795,Equip!$A:$N,13,FALSE),0)&lt;=9),INT(VLOOKUP(AM795,Equip!$A:$N,6,FALSE)*SQRT(AQ795)),0)</f>
        <v>0</v>
      </c>
      <c r="AW795">
        <f t="shared" si="1999"/>
        <v>0</v>
      </c>
      <c r="AX795">
        <f t="shared" si="2000"/>
        <v>518</v>
      </c>
    </row>
    <row r="796" spans="1:50">
      <c r="A796">
        <v>760</v>
      </c>
      <c r="B796" t="s">
        <v>1098</v>
      </c>
      <c r="C796" t="s">
        <v>1099</v>
      </c>
      <c r="D796">
        <v>0</v>
      </c>
      <c r="E796">
        <v>1333</v>
      </c>
      <c r="F796">
        <v>760</v>
      </c>
      <c r="G796">
        <v>760</v>
      </c>
      <c r="H796">
        <v>0</v>
      </c>
      <c r="I796">
        <v>6</v>
      </c>
      <c r="J796">
        <v>5</v>
      </c>
      <c r="K796">
        <v>1</v>
      </c>
      <c r="L796">
        <v>1</v>
      </c>
      <c r="M796">
        <v>17</v>
      </c>
      <c r="N796">
        <v>17</v>
      </c>
      <c r="O796">
        <v>8</v>
      </c>
      <c r="P796">
        <v>7</v>
      </c>
      <c r="Q796">
        <v>20</v>
      </c>
      <c r="R796">
        <v>38</v>
      </c>
      <c r="S796">
        <v>24</v>
      </c>
      <c r="T796">
        <v>24</v>
      </c>
      <c r="U796">
        <v>10</v>
      </c>
      <c r="V796">
        <v>6</v>
      </c>
      <c r="W796">
        <v>1</v>
      </c>
      <c r="X796">
        <v>20</v>
      </c>
      <c r="Y796">
        <v>0</v>
      </c>
      <c r="Z796">
        <v>15</v>
      </c>
      <c r="AA796">
        <v>25</v>
      </c>
      <c r="AB796">
        <v>28</v>
      </c>
      <c r="AC796">
        <v>70</v>
      </c>
      <c r="AD796">
        <v>54</v>
      </c>
      <c r="AE796">
        <v>22</v>
      </c>
      <c r="AF796">
        <v>64</v>
      </c>
      <c r="AG796">
        <v>78</v>
      </c>
      <c r="AH796">
        <v>54</v>
      </c>
      <c r="AI796">
        <v>16</v>
      </c>
      <c r="AJ796">
        <v>725</v>
      </c>
      <c r="AK796">
        <v>773</v>
      </c>
      <c r="AL796">
        <v>-1</v>
      </c>
      <c r="AM796">
        <v>-1</v>
      </c>
      <c r="AN796">
        <v>0</v>
      </c>
      <c r="AO796">
        <v>0</v>
      </c>
      <c r="AP796">
        <v>0</v>
      </c>
      <c r="AQ796">
        <v>0</v>
      </c>
      <c r="AR796">
        <f t="shared" si="2025"/>
        <v>0</v>
      </c>
      <c r="AS796">
        <f>IF(AND(IFERROR(VLOOKUP(AJ796,Equip!$A:$N,13,FALSE),0)&gt;=5,IFERROR(VLOOKUP(AJ796,Equip!$A:$N,13,FALSE),0)&lt;=9),INT(VLOOKUP(AJ796,Equip!$A:$N,6,FALSE)*SQRT(AN796)),0)</f>
        <v>0</v>
      </c>
      <c r="AT796">
        <f>IF(AND(IFERROR(VLOOKUP(AK796,Equip!$A:$N,13,FALSE),0)&gt;=5,IFERROR(VLOOKUP(AK796,Equip!$A:$N,13,FALSE),0)&lt;=9),INT(VLOOKUP(AK796,Equip!$A:$N,6,FALSE)*SQRT(AO796)),0)</f>
        <v>0</v>
      </c>
      <c r="AU796">
        <f>IF(AND(IFERROR(VLOOKUP(AL796,Equip!$A:$N,13,FALSE),0)&gt;=5,IFERROR(VLOOKUP(AL796,Equip!$A:$N,13,FALSE),0)&lt;=9),INT(VLOOKUP(AL796,Equip!$A:$N,6,FALSE)*SQRT(AP796)),0)</f>
        <v>0</v>
      </c>
      <c r="AV796">
        <f>IF(AND(IFERROR(VLOOKUP(AM796,Equip!$A:$N,13,FALSE),0)&gt;=5,IFERROR(VLOOKUP(AM796,Equip!$A:$N,13,FALSE),0)&lt;=9),INT(VLOOKUP(AM796,Equip!$A:$N,6,FALSE)*SQRT(AQ796)),0)</f>
        <v>0</v>
      </c>
      <c r="AW796">
        <f t="shared" si="1999"/>
        <v>0</v>
      </c>
      <c r="AX796">
        <f t="shared" si="2000"/>
        <v>339</v>
      </c>
    </row>
    <row r="797" spans="1:50">
      <c r="A797">
        <v>760</v>
      </c>
      <c r="B797" t="s">
        <v>1098</v>
      </c>
      <c r="C797" t="s">
        <v>1099</v>
      </c>
      <c r="D797">
        <v>1</v>
      </c>
      <c r="E797">
        <f>E796</f>
        <v>1333</v>
      </c>
      <c r="F797">
        <f t="shared" ref="F797" si="2092">F796</f>
        <v>760</v>
      </c>
      <c r="G797">
        <f t="shared" ref="G797" si="2093">G796</f>
        <v>760</v>
      </c>
      <c r="H797">
        <f t="shared" ref="H797" si="2094">H796</f>
        <v>0</v>
      </c>
      <c r="I797">
        <f t="shared" ref="I797" si="2095">I796</f>
        <v>6</v>
      </c>
      <c r="J797">
        <f t="shared" ref="J797" si="2096">J796</f>
        <v>5</v>
      </c>
      <c r="K797">
        <v>1</v>
      </c>
      <c r="L797">
        <v>1</v>
      </c>
      <c r="M797">
        <v>33</v>
      </c>
      <c r="N797">
        <v>33</v>
      </c>
      <c r="O797">
        <v>8</v>
      </c>
      <c r="P797">
        <v>7</v>
      </c>
      <c r="Q797">
        <v>20</v>
      </c>
      <c r="R797">
        <v>48</v>
      </c>
      <c r="S797">
        <v>25</v>
      </c>
      <c r="T797">
        <v>30</v>
      </c>
      <c r="U797">
        <f t="shared" ref="U797" si="2097">U796</f>
        <v>10</v>
      </c>
      <c r="V797">
        <v>8</v>
      </c>
      <c r="W797">
        <f t="shared" ref="W797" si="2098">W796</f>
        <v>1</v>
      </c>
      <c r="X797">
        <v>22</v>
      </c>
      <c r="Y797">
        <f t="shared" ref="Y797" si="2099">Y796</f>
        <v>0</v>
      </c>
      <c r="Z797">
        <v>15</v>
      </c>
      <c r="AA797">
        <v>25</v>
      </c>
      <c r="AB797">
        <v>47</v>
      </c>
      <c r="AC797">
        <v>75</v>
      </c>
      <c r="AD797">
        <v>62</v>
      </c>
      <c r="AE797">
        <v>50</v>
      </c>
      <c r="AF797">
        <v>74</v>
      </c>
      <c r="AG797">
        <v>90</v>
      </c>
      <c r="AH797">
        <v>62</v>
      </c>
      <c r="AI797">
        <v>39</v>
      </c>
      <c r="AJ797">
        <v>725</v>
      </c>
      <c r="AK797">
        <v>74</v>
      </c>
      <c r="AL797">
        <v>0</v>
      </c>
      <c r="AM797">
        <v>-1</v>
      </c>
      <c r="AN797">
        <v>0</v>
      </c>
      <c r="AO797">
        <v>0</v>
      </c>
      <c r="AP797">
        <v>0</v>
      </c>
      <c r="AQ797">
        <v>0</v>
      </c>
      <c r="AR797">
        <f t="shared" si="2025"/>
        <v>0</v>
      </c>
      <c r="AS797">
        <f>IF(AND(IFERROR(VLOOKUP(AJ797,Equip!$A:$N,13,FALSE),0)&gt;=5,IFERROR(VLOOKUP(AJ797,Equip!$A:$N,13,FALSE),0)&lt;=9),INT(VLOOKUP(AJ797,Equip!$A:$N,6,FALSE)*SQRT(AN797)),0)</f>
        <v>0</v>
      </c>
      <c r="AT797">
        <f>IF(AND(IFERROR(VLOOKUP(AK797,Equip!$A:$N,13,FALSE),0)&gt;=5,IFERROR(VLOOKUP(AK797,Equip!$A:$N,13,FALSE),0)&lt;=9),INT(VLOOKUP(AK797,Equip!$A:$N,6,FALSE)*SQRT(AO797)),0)</f>
        <v>0</v>
      </c>
      <c r="AU797">
        <f>IF(AND(IFERROR(VLOOKUP(AL797,Equip!$A:$N,13,FALSE),0)&gt;=5,IFERROR(VLOOKUP(AL797,Equip!$A:$N,13,FALSE),0)&lt;=9),INT(VLOOKUP(AL797,Equip!$A:$N,6,FALSE)*SQRT(AP797)),0)</f>
        <v>0</v>
      </c>
      <c r="AV797">
        <f>IF(AND(IFERROR(VLOOKUP(AM797,Equip!$A:$N,13,FALSE),0)&gt;=5,IFERROR(VLOOKUP(AM797,Equip!$A:$N,13,FALSE),0)&lt;=9),INT(VLOOKUP(AM797,Equip!$A:$N,6,FALSE)*SQRT(AQ797)),0)</f>
        <v>0</v>
      </c>
      <c r="AW797">
        <f t="shared" si="1999"/>
        <v>0</v>
      </c>
      <c r="AX797">
        <f t="shared" si="2000"/>
        <v>458</v>
      </c>
    </row>
    <row r="798" spans="1:50">
      <c r="A798">
        <v>761</v>
      </c>
      <c r="B798" t="s">
        <v>1100</v>
      </c>
      <c r="C798" t="s">
        <v>1101</v>
      </c>
      <c r="D798">
        <v>0</v>
      </c>
      <c r="E798">
        <v>1333</v>
      </c>
      <c r="F798">
        <v>760</v>
      </c>
      <c r="G798">
        <v>761</v>
      </c>
      <c r="H798">
        <v>0</v>
      </c>
      <c r="I798">
        <v>6</v>
      </c>
      <c r="J798">
        <v>9</v>
      </c>
      <c r="K798">
        <v>1</v>
      </c>
      <c r="L798">
        <v>1</v>
      </c>
      <c r="M798">
        <v>17</v>
      </c>
      <c r="N798">
        <v>17</v>
      </c>
      <c r="O798">
        <v>10</v>
      </c>
      <c r="P798">
        <v>6</v>
      </c>
      <c r="Q798">
        <v>20</v>
      </c>
      <c r="R798">
        <v>36</v>
      </c>
      <c r="S798">
        <v>26</v>
      </c>
      <c r="T798">
        <v>25</v>
      </c>
      <c r="U798">
        <v>10</v>
      </c>
      <c r="V798">
        <v>6</v>
      </c>
      <c r="W798">
        <v>1</v>
      </c>
      <c r="X798">
        <v>20</v>
      </c>
      <c r="Y798">
        <v>0</v>
      </c>
      <c r="Z798">
        <v>15</v>
      </c>
      <c r="AA798">
        <v>25</v>
      </c>
      <c r="AB798">
        <v>30</v>
      </c>
      <c r="AC798">
        <v>70</v>
      </c>
      <c r="AD798">
        <v>56</v>
      </c>
      <c r="AE798">
        <v>21</v>
      </c>
      <c r="AF798">
        <v>64</v>
      </c>
      <c r="AG798">
        <v>76</v>
      </c>
      <c r="AH798">
        <v>55</v>
      </c>
      <c r="AI798">
        <v>16</v>
      </c>
      <c r="AJ798">
        <v>725</v>
      </c>
      <c r="AK798">
        <v>773</v>
      </c>
      <c r="AL798">
        <v>-1</v>
      </c>
      <c r="AM798">
        <v>-1</v>
      </c>
      <c r="AN798">
        <v>0</v>
      </c>
      <c r="AO798">
        <v>0</v>
      </c>
      <c r="AP798">
        <v>0</v>
      </c>
      <c r="AQ798">
        <v>0</v>
      </c>
      <c r="AR798">
        <f t="shared" si="2025"/>
        <v>0</v>
      </c>
      <c r="AS798">
        <f>IF(AND(IFERROR(VLOOKUP(AJ798,Equip!$A:$N,13,FALSE),0)&gt;=5,IFERROR(VLOOKUP(AJ798,Equip!$A:$N,13,FALSE),0)&lt;=9),INT(VLOOKUP(AJ798,Equip!$A:$N,6,FALSE)*SQRT(AN798)),0)</f>
        <v>0</v>
      </c>
      <c r="AT798">
        <f>IF(AND(IFERROR(VLOOKUP(AK798,Equip!$A:$N,13,FALSE),0)&gt;=5,IFERROR(VLOOKUP(AK798,Equip!$A:$N,13,FALSE),0)&lt;=9),INT(VLOOKUP(AK798,Equip!$A:$N,6,FALSE)*SQRT(AO798)),0)</f>
        <v>0</v>
      </c>
      <c r="AU798">
        <f>IF(AND(IFERROR(VLOOKUP(AL798,Equip!$A:$N,13,FALSE),0)&gt;=5,IFERROR(VLOOKUP(AL798,Equip!$A:$N,13,FALSE),0)&lt;=9),INT(VLOOKUP(AL798,Equip!$A:$N,6,FALSE)*SQRT(AP798)),0)</f>
        <v>0</v>
      </c>
      <c r="AV798">
        <f>IF(AND(IFERROR(VLOOKUP(AM798,Equip!$A:$N,13,FALSE),0)&gt;=5,IFERROR(VLOOKUP(AM798,Equip!$A:$N,13,FALSE),0)&lt;=9),INT(VLOOKUP(AM798,Equip!$A:$N,6,FALSE)*SQRT(AQ798)),0)</f>
        <v>0</v>
      </c>
      <c r="AW798">
        <f t="shared" si="1999"/>
        <v>0</v>
      </c>
      <c r="AX798">
        <f t="shared" si="2000"/>
        <v>341</v>
      </c>
    </row>
    <row r="799" spans="1:50">
      <c r="A799">
        <v>761</v>
      </c>
      <c r="B799" t="s">
        <v>1100</v>
      </c>
      <c r="C799" t="s">
        <v>1101</v>
      </c>
      <c r="D799">
        <v>1</v>
      </c>
      <c r="E799">
        <f>E798</f>
        <v>1333</v>
      </c>
      <c r="F799">
        <f t="shared" ref="F799" si="2100">F798</f>
        <v>760</v>
      </c>
      <c r="G799">
        <f t="shared" ref="G799" si="2101">G798</f>
        <v>761</v>
      </c>
      <c r="H799">
        <f t="shared" ref="H799" si="2102">H798</f>
        <v>0</v>
      </c>
      <c r="I799">
        <f t="shared" ref="I799" si="2103">I798</f>
        <v>6</v>
      </c>
      <c r="J799">
        <f t="shared" ref="J799" si="2104">J798</f>
        <v>9</v>
      </c>
      <c r="K799">
        <v>1</v>
      </c>
      <c r="L799">
        <v>1</v>
      </c>
      <c r="M799">
        <v>33</v>
      </c>
      <c r="N799">
        <v>33</v>
      </c>
      <c r="O799">
        <v>10</v>
      </c>
      <c r="P799">
        <v>6</v>
      </c>
      <c r="Q799">
        <v>20</v>
      </c>
      <c r="R799">
        <v>46</v>
      </c>
      <c r="S799">
        <v>27</v>
      </c>
      <c r="T799">
        <v>31</v>
      </c>
      <c r="U799">
        <f t="shared" ref="U799" si="2105">U798</f>
        <v>10</v>
      </c>
      <c r="V799">
        <v>8</v>
      </c>
      <c r="W799">
        <f t="shared" ref="W799" si="2106">W798</f>
        <v>1</v>
      </c>
      <c r="X799">
        <v>22</v>
      </c>
      <c r="Y799">
        <f t="shared" ref="Y799" si="2107">Y798</f>
        <v>0</v>
      </c>
      <c r="Z799">
        <v>15</v>
      </c>
      <c r="AA799">
        <v>25</v>
      </c>
      <c r="AB799">
        <v>49</v>
      </c>
      <c r="AC799">
        <v>75</v>
      </c>
      <c r="AD799">
        <v>64</v>
      </c>
      <c r="AE799">
        <v>49</v>
      </c>
      <c r="AF799">
        <v>74</v>
      </c>
      <c r="AG799">
        <v>88</v>
      </c>
      <c r="AH799">
        <v>63</v>
      </c>
      <c r="AI799">
        <v>39</v>
      </c>
      <c r="AJ799">
        <v>725</v>
      </c>
      <c r="AK799">
        <v>101</v>
      </c>
      <c r="AL799">
        <v>0</v>
      </c>
      <c r="AM799">
        <v>-1</v>
      </c>
      <c r="AN799">
        <v>0</v>
      </c>
      <c r="AO799">
        <v>0</v>
      </c>
      <c r="AP799">
        <v>0</v>
      </c>
      <c r="AQ799">
        <v>0</v>
      </c>
      <c r="AR799">
        <f t="shared" si="2025"/>
        <v>0</v>
      </c>
      <c r="AS799">
        <f>IF(AND(IFERROR(VLOOKUP(AJ799,Equip!$A:$N,13,FALSE),0)&gt;=5,IFERROR(VLOOKUP(AJ799,Equip!$A:$N,13,FALSE),0)&lt;=9),INT(VLOOKUP(AJ799,Equip!$A:$N,6,FALSE)*SQRT(AN799)),0)</f>
        <v>0</v>
      </c>
      <c r="AT799">
        <f>IF(AND(IFERROR(VLOOKUP(AK799,Equip!$A:$N,13,FALSE),0)&gt;=5,IFERROR(VLOOKUP(AK799,Equip!$A:$N,13,FALSE),0)&lt;=9),INT(VLOOKUP(AK799,Equip!$A:$N,6,FALSE)*SQRT(AO799)),0)</f>
        <v>0</v>
      </c>
      <c r="AU799">
        <f>IF(AND(IFERROR(VLOOKUP(AL799,Equip!$A:$N,13,FALSE),0)&gt;=5,IFERROR(VLOOKUP(AL799,Equip!$A:$N,13,FALSE),0)&lt;=9),INT(VLOOKUP(AL799,Equip!$A:$N,6,FALSE)*SQRT(AP799)),0)</f>
        <v>0</v>
      </c>
      <c r="AV799">
        <f>IF(AND(IFERROR(VLOOKUP(AM799,Equip!$A:$N,13,FALSE),0)&gt;=5,IFERROR(VLOOKUP(AM799,Equip!$A:$N,13,FALSE),0)&lt;=9),INT(VLOOKUP(AM799,Equip!$A:$N,6,FALSE)*SQRT(AQ799)),0)</f>
        <v>0</v>
      </c>
      <c r="AW799">
        <f t="shared" si="1999"/>
        <v>0</v>
      </c>
      <c r="AX799">
        <f t="shared" si="2000"/>
        <v>460</v>
      </c>
    </row>
    <row r="800" spans="1:50">
      <c r="A800">
        <v>762</v>
      </c>
      <c r="B800" t="s">
        <v>1102</v>
      </c>
      <c r="C800" t="s">
        <v>1103</v>
      </c>
      <c r="D800">
        <v>0</v>
      </c>
      <c r="E800">
        <v>1333</v>
      </c>
      <c r="F800">
        <v>760</v>
      </c>
      <c r="G800">
        <v>762</v>
      </c>
      <c r="H800">
        <v>0</v>
      </c>
      <c r="I800">
        <v>6</v>
      </c>
      <c r="J800">
        <v>6</v>
      </c>
      <c r="K800">
        <v>1</v>
      </c>
      <c r="L800">
        <v>1</v>
      </c>
      <c r="M800">
        <v>17</v>
      </c>
      <c r="N800">
        <v>17</v>
      </c>
      <c r="O800">
        <v>7</v>
      </c>
      <c r="P800">
        <v>7</v>
      </c>
      <c r="Q800">
        <v>20</v>
      </c>
      <c r="R800">
        <v>37</v>
      </c>
      <c r="S800">
        <v>26</v>
      </c>
      <c r="T800">
        <v>25</v>
      </c>
      <c r="U800">
        <v>10</v>
      </c>
      <c r="V800">
        <v>5</v>
      </c>
      <c r="W800">
        <v>1</v>
      </c>
      <c r="X800">
        <v>16</v>
      </c>
      <c r="Y800">
        <v>0</v>
      </c>
      <c r="Z800">
        <v>15</v>
      </c>
      <c r="AA800">
        <v>25</v>
      </c>
      <c r="AB800">
        <v>27</v>
      </c>
      <c r="AC800">
        <v>70</v>
      </c>
      <c r="AD800">
        <v>56</v>
      </c>
      <c r="AE800">
        <v>22</v>
      </c>
      <c r="AF800">
        <v>59</v>
      </c>
      <c r="AG800">
        <v>77</v>
      </c>
      <c r="AH800">
        <v>55</v>
      </c>
      <c r="AI800">
        <v>15</v>
      </c>
      <c r="AJ800">
        <v>725</v>
      </c>
      <c r="AK800">
        <v>773</v>
      </c>
      <c r="AL800">
        <v>-1</v>
      </c>
      <c r="AM800">
        <v>-1</v>
      </c>
      <c r="AN800">
        <v>0</v>
      </c>
      <c r="AO800">
        <v>0</v>
      </c>
      <c r="AP800">
        <v>0</v>
      </c>
      <c r="AQ800">
        <v>0</v>
      </c>
      <c r="AR800">
        <f t="shared" si="2025"/>
        <v>0</v>
      </c>
      <c r="AS800">
        <f>IF(AND(IFERROR(VLOOKUP(AJ800,Equip!$A:$N,13,FALSE),0)&gt;=5,IFERROR(VLOOKUP(AJ800,Equip!$A:$N,13,FALSE),0)&lt;=9),INT(VLOOKUP(AJ800,Equip!$A:$N,6,FALSE)*SQRT(AN800)),0)</f>
        <v>0</v>
      </c>
      <c r="AT800">
        <f>IF(AND(IFERROR(VLOOKUP(AK800,Equip!$A:$N,13,FALSE),0)&gt;=5,IFERROR(VLOOKUP(AK800,Equip!$A:$N,13,FALSE),0)&lt;=9),INT(VLOOKUP(AK800,Equip!$A:$N,6,FALSE)*SQRT(AO800)),0)</f>
        <v>0</v>
      </c>
      <c r="AU800">
        <f>IF(AND(IFERROR(VLOOKUP(AL800,Equip!$A:$N,13,FALSE),0)&gt;=5,IFERROR(VLOOKUP(AL800,Equip!$A:$N,13,FALSE),0)&lt;=9),INT(VLOOKUP(AL800,Equip!$A:$N,6,FALSE)*SQRT(AP800)),0)</f>
        <v>0</v>
      </c>
      <c r="AV800">
        <f>IF(AND(IFERROR(VLOOKUP(AM800,Equip!$A:$N,13,FALSE),0)&gt;=5,IFERROR(VLOOKUP(AM800,Equip!$A:$N,13,FALSE),0)&lt;=9),INT(VLOOKUP(AM800,Equip!$A:$N,6,FALSE)*SQRT(AQ800)),0)</f>
        <v>0</v>
      </c>
      <c r="AW800">
        <f t="shared" si="1999"/>
        <v>0</v>
      </c>
      <c r="AX800">
        <f t="shared" si="2000"/>
        <v>339</v>
      </c>
    </row>
    <row r="801" spans="1:50">
      <c r="A801">
        <v>762</v>
      </c>
      <c r="B801" t="s">
        <v>1102</v>
      </c>
      <c r="C801" t="s">
        <v>1103</v>
      </c>
      <c r="D801">
        <v>1</v>
      </c>
      <c r="E801">
        <f>E800</f>
        <v>1333</v>
      </c>
      <c r="F801">
        <f t="shared" ref="F801" si="2108">F800</f>
        <v>760</v>
      </c>
      <c r="G801">
        <f t="shared" ref="G801" si="2109">G800</f>
        <v>762</v>
      </c>
      <c r="H801">
        <f t="shared" ref="H801" si="2110">H800</f>
        <v>0</v>
      </c>
      <c r="I801">
        <f t="shared" ref="I801" si="2111">I800</f>
        <v>6</v>
      </c>
      <c r="J801">
        <f t="shared" ref="J801" si="2112">J800</f>
        <v>6</v>
      </c>
      <c r="K801">
        <v>1</v>
      </c>
      <c r="L801">
        <v>1</v>
      </c>
      <c r="M801">
        <v>33</v>
      </c>
      <c r="N801">
        <v>33</v>
      </c>
      <c r="O801">
        <v>7</v>
      </c>
      <c r="P801">
        <v>7</v>
      </c>
      <c r="Q801">
        <v>20</v>
      </c>
      <c r="R801">
        <v>47</v>
      </c>
      <c r="S801">
        <v>27</v>
      </c>
      <c r="T801">
        <v>31</v>
      </c>
      <c r="U801">
        <f t="shared" ref="U801" si="2113">U800</f>
        <v>10</v>
      </c>
      <c r="V801">
        <v>7</v>
      </c>
      <c r="W801">
        <f t="shared" ref="W801" si="2114">W800</f>
        <v>1</v>
      </c>
      <c r="X801">
        <v>19</v>
      </c>
      <c r="Y801">
        <f t="shared" ref="Y801" si="2115">Y800</f>
        <v>0</v>
      </c>
      <c r="Z801">
        <v>15</v>
      </c>
      <c r="AA801">
        <v>25</v>
      </c>
      <c r="AB801">
        <v>46</v>
      </c>
      <c r="AC801">
        <v>75</v>
      </c>
      <c r="AD801">
        <v>64</v>
      </c>
      <c r="AE801">
        <v>50</v>
      </c>
      <c r="AF801">
        <v>69</v>
      </c>
      <c r="AG801">
        <v>89</v>
      </c>
      <c r="AH801">
        <v>63</v>
      </c>
      <c r="AI801">
        <v>38</v>
      </c>
      <c r="AJ801">
        <v>725</v>
      </c>
      <c r="AK801">
        <v>750</v>
      </c>
      <c r="AL801">
        <v>0</v>
      </c>
      <c r="AM801">
        <v>-1</v>
      </c>
      <c r="AN801">
        <v>0</v>
      </c>
      <c r="AO801">
        <v>0</v>
      </c>
      <c r="AP801">
        <v>0</v>
      </c>
      <c r="AQ801">
        <v>0</v>
      </c>
      <c r="AR801">
        <f t="shared" si="2025"/>
        <v>0</v>
      </c>
      <c r="AS801">
        <f>IF(AND(IFERROR(VLOOKUP(AJ801,Equip!$A:$N,13,FALSE),0)&gt;=5,IFERROR(VLOOKUP(AJ801,Equip!$A:$N,13,FALSE),0)&lt;=9),INT(VLOOKUP(AJ801,Equip!$A:$N,6,FALSE)*SQRT(AN801)),0)</f>
        <v>0</v>
      </c>
      <c r="AT801">
        <f>IF(AND(IFERROR(VLOOKUP(AK801,Equip!$A:$N,13,FALSE),0)&gt;=5,IFERROR(VLOOKUP(AK801,Equip!$A:$N,13,FALSE),0)&lt;=9),INT(VLOOKUP(AK801,Equip!$A:$N,6,FALSE)*SQRT(AO801)),0)</f>
        <v>0</v>
      </c>
      <c r="AU801">
        <f>IF(AND(IFERROR(VLOOKUP(AL801,Equip!$A:$N,13,FALSE),0)&gt;=5,IFERROR(VLOOKUP(AL801,Equip!$A:$N,13,FALSE),0)&lt;=9),INT(VLOOKUP(AL801,Equip!$A:$N,6,FALSE)*SQRT(AP801)),0)</f>
        <v>0</v>
      </c>
      <c r="AV801">
        <f>IF(AND(IFERROR(VLOOKUP(AM801,Equip!$A:$N,13,FALSE),0)&gt;=5,IFERROR(VLOOKUP(AM801,Equip!$A:$N,13,FALSE),0)&lt;=9),INT(VLOOKUP(AM801,Equip!$A:$N,6,FALSE)*SQRT(AQ801)),0)</f>
        <v>0</v>
      </c>
      <c r="AW801">
        <f t="shared" si="1999"/>
        <v>0</v>
      </c>
      <c r="AX801">
        <f t="shared" si="2000"/>
        <v>458</v>
      </c>
    </row>
    <row r="802" spans="1:50">
      <c r="A802">
        <v>763</v>
      </c>
      <c r="B802" t="s">
        <v>1104</v>
      </c>
      <c r="C802" t="s">
        <v>1105</v>
      </c>
      <c r="D802">
        <v>0</v>
      </c>
      <c r="E802">
        <v>2385</v>
      </c>
      <c r="F802">
        <v>1314</v>
      </c>
      <c r="G802">
        <v>763</v>
      </c>
      <c r="H802">
        <v>2</v>
      </c>
      <c r="I802">
        <v>6</v>
      </c>
      <c r="J802">
        <v>2</v>
      </c>
      <c r="K802">
        <v>8</v>
      </c>
      <c r="L802">
        <v>10</v>
      </c>
      <c r="M802">
        <v>77</v>
      </c>
      <c r="N802">
        <v>77</v>
      </c>
      <c r="O802">
        <v>80</v>
      </c>
      <c r="P802">
        <v>76</v>
      </c>
      <c r="Q802">
        <v>0</v>
      </c>
      <c r="R802">
        <v>16</v>
      </c>
      <c r="S802">
        <v>35</v>
      </c>
      <c r="T802">
        <v>0</v>
      </c>
      <c r="U802">
        <v>5</v>
      </c>
      <c r="V802">
        <v>12</v>
      </c>
      <c r="W802">
        <v>3</v>
      </c>
      <c r="X802">
        <v>20</v>
      </c>
      <c r="Y802">
        <v>0</v>
      </c>
      <c r="Z802">
        <v>105</v>
      </c>
      <c r="AA802">
        <v>140</v>
      </c>
      <c r="AB802">
        <v>98</v>
      </c>
      <c r="AC802">
        <v>0</v>
      </c>
      <c r="AD802">
        <v>94</v>
      </c>
      <c r="AE802">
        <v>90</v>
      </c>
      <c r="AF802">
        <v>69</v>
      </c>
      <c r="AG802">
        <v>36</v>
      </c>
      <c r="AH802">
        <v>0</v>
      </c>
      <c r="AI802">
        <v>39</v>
      </c>
      <c r="AJ802">
        <v>788</v>
      </c>
      <c r="AK802">
        <v>724</v>
      </c>
      <c r="AL802">
        <v>0</v>
      </c>
      <c r="AM802">
        <v>0</v>
      </c>
      <c r="AN802">
        <v>4</v>
      </c>
      <c r="AO802">
        <v>4</v>
      </c>
      <c r="AP802">
        <v>4</v>
      </c>
      <c r="AQ802">
        <v>4</v>
      </c>
      <c r="AR802">
        <f t="shared" si="2025"/>
        <v>16</v>
      </c>
      <c r="AS802">
        <f>IF(AND(IFERROR(VLOOKUP(AJ802,Equip!$A:$N,13,FALSE),0)&gt;=5,IFERROR(VLOOKUP(AJ802,Equip!$A:$N,13,FALSE),0)&lt;=9),INT(VLOOKUP(AJ802,Equip!$A:$N,6,FALSE)*SQRT(AN802)),0)</f>
        <v>0</v>
      </c>
      <c r="AT802">
        <f>IF(AND(IFERROR(VLOOKUP(AK802,Equip!$A:$N,13,FALSE),0)&gt;=5,IFERROR(VLOOKUP(AK802,Equip!$A:$N,13,FALSE),0)&lt;=9),INT(VLOOKUP(AK802,Equip!$A:$N,6,FALSE)*SQRT(AO802)),0)</f>
        <v>0</v>
      </c>
      <c r="AU802">
        <f>IF(AND(IFERROR(VLOOKUP(AL802,Equip!$A:$N,13,FALSE),0)&gt;=5,IFERROR(VLOOKUP(AL802,Equip!$A:$N,13,FALSE),0)&lt;=9),INT(VLOOKUP(AL802,Equip!$A:$N,6,FALSE)*SQRT(AP802)),0)</f>
        <v>0</v>
      </c>
      <c r="AV802">
        <f>IF(AND(IFERROR(VLOOKUP(AM802,Equip!$A:$N,13,FALSE),0)&gt;=5,IFERROR(VLOOKUP(AM802,Equip!$A:$N,13,FALSE),0)&lt;=9),INT(VLOOKUP(AM802,Equip!$A:$N,6,FALSE)*SQRT(AQ802)),0)</f>
        <v>0</v>
      </c>
      <c r="AW802">
        <f t="shared" si="1999"/>
        <v>0</v>
      </c>
      <c r="AX802">
        <f t="shared" si="2000"/>
        <v>434</v>
      </c>
    </row>
    <row r="803" spans="1:50">
      <c r="A803">
        <v>763</v>
      </c>
      <c r="B803" t="s">
        <v>1104</v>
      </c>
      <c r="C803" t="s">
        <v>1105</v>
      </c>
      <c r="D803">
        <v>1</v>
      </c>
      <c r="E803">
        <f>E802</f>
        <v>2385</v>
      </c>
      <c r="F803">
        <f t="shared" ref="F803" si="2116">F802</f>
        <v>1314</v>
      </c>
      <c r="G803">
        <f t="shared" ref="G803" si="2117">G802</f>
        <v>763</v>
      </c>
      <c r="H803">
        <f t="shared" ref="H803" si="2118">H802</f>
        <v>2</v>
      </c>
      <c r="I803">
        <f t="shared" ref="I803" si="2119">I802</f>
        <v>6</v>
      </c>
      <c r="J803">
        <f t="shared" ref="J803" si="2120">J802</f>
        <v>2</v>
      </c>
      <c r="K803">
        <v>8</v>
      </c>
      <c r="L803">
        <v>10</v>
      </c>
      <c r="M803">
        <v>87</v>
      </c>
      <c r="N803">
        <v>87</v>
      </c>
      <c r="O803">
        <v>87</v>
      </c>
      <c r="P803">
        <v>86</v>
      </c>
      <c r="Q803">
        <v>0</v>
      </c>
      <c r="R803">
        <v>20</v>
      </c>
      <c r="S803">
        <v>60</v>
      </c>
      <c r="T803">
        <v>0</v>
      </c>
      <c r="U803">
        <f t="shared" ref="U803" si="2121">U802</f>
        <v>5</v>
      </c>
      <c r="V803">
        <v>16</v>
      </c>
      <c r="W803">
        <f t="shared" ref="W803" si="2122">W802</f>
        <v>3</v>
      </c>
      <c r="X803">
        <v>24</v>
      </c>
      <c r="Y803">
        <f t="shared" ref="Y803" si="2123">Y802</f>
        <v>0</v>
      </c>
      <c r="Z803">
        <v>110</v>
      </c>
      <c r="AA803">
        <v>170</v>
      </c>
      <c r="AB803">
        <v>99</v>
      </c>
      <c r="AC803">
        <v>0</v>
      </c>
      <c r="AD803">
        <v>112</v>
      </c>
      <c r="AE803">
        <v>99</v>
      </c>
      <c r="AF803">
        <v>79</v>
      </c>
      <c r="AG803">
        <v>56</v>
      </c>
      <c r="AH803">
        <v>0</v>
      </c>
      <c r="AI803">
        <v>49</v>
      </c>
      <c r="AJ803">
        <v>838</v>
      </c>
      <c r="AK803">
        <v>173</v>
      </c>
      <c r="AL803">
        <v>833</v>
      </c>
      <c r="AM803">
        <v>0</v>
      </c>
      <c r="AN803">
        <v>4</v>
      </c>
      <c r="AO803">
        <v>4</v>
      </c>
      <c r="AP803">
        <v>4</v>
      </c>
      <c r="AQ803">
        <v>4</v>
      </c>
      <c r="AR803">
        <f t="shared" si="2025"/>
        <v>16</v>
      </c>
      <c r="AS803">
        <f>IF(AND(IFERROR(VLOOKUP(AJ803,Equip!$A:$N,13,FALSE),0)&gt;=5,IFERROR(VLOOKUP(AJ803,Equip!$A:$N,13,FALSE),0)&lt;=9),INT(VLOOKUP(AJ803,Equip!$A:$N,6,FALSE)*SQRT(AN803)),0)</f>
        <v>0</v>
      </c>
      <c r="AT803">
        <f>IF(AND(IFERROR(VLOOKUP(AK803,Equip!$A:$N,13,FALSE),0)&gt;=5,IFERROR(VLOOKUP(AK803,Equip!$A:$N,13,FALSE),0)&lt;=9),INT(VLOOKUP(AK803,Equip!$A:$N,6,FALSE)*SQRT(AO803)),0)</f>
        <v>0</v>
      </c>
      <c r="AU803">
        <f>IF(AND(IFERROR(VLOOKUP(AL803,Equip!$A:$N,13,FALSE),0)&gt;=5,IFERROR(VLOOKUP(AL803,Equip!$A:$N,13,FALSE),0)&lt;=9),INT(VLOOKUP(AL803,Equip!$A:$N,6,FALSE)*SQRT(AP803)),0)</f>
        <v>0</v>
      </c>
      <c r="AV803">
        <f>IF(AND(IFERROR(VLOOKUP(AM803,Equip!$A:$N,13,FALSE),0)&gt;=5,IFERROR(VLOOKUP(AM803,Equip!$A:$N,13,FALSE),0)&lt;=9),INT(VLOOKUP(AM803,Equip!$A:$N,6,FALSE)*SQRT(AQ803)),0)</f>
        <v>0</v>
      </c>
      <c r="AW803">
        <f t="shared" si="1999"/>
        <v>0</v>
      </c>
      <c r="AX803">
        <f t="shared" si="2000"/>
        <v>502</v>
      </c>
    </row>
    <row r="804" spans="1:50">
      <c r="A804">
        <v>764</v>
      </c>
      <c r="B804" t="s">
        <v>1106</v>
      </c>
      <c r="C804" t="s">
        <v>1106</v>
      </c>
      <c r="D804">
        <v>0</v>
      </c>
      <c r="E804">
        <v>2800</v>
      </c>
      <c r="F804">
        <v>1500</v>
      </c>
      <c r="G804">
        <v>764</v>
      </c>
      <c r="H804">
        <v>2</v>
      </c>
      <c r="I804">
        <v>1</v>
      </c>
      <c r="J804">
        <v>7</v>
      </c>
      <c r="K804">
        <v>11</v>
      </c>
      <c r="L804">
        <v>0</v>
      </c>
      <c r="M804">
        <v>96</v>
      </c>
      <c r="N804">
        <v>96</v>
      </c>
      <c r="O804">
        <v>25</v>
      </c>
      <c r="P804">
        <v>75</v>
      </c>
      <c r="Q804">
        <v>0</v>
      </c>
      <c r="R804">
        <v>25</v>
      </c>
      <c r="S804">
        <v>48</v>
      </c>
      <c r="T804">
        <v>0</v>
      </c>
      <c r="U804">
        <v>10</v>
      </c>
      <c r="V804">
        <v>47</v>
      </c>
      <c r="W804">
        <v>1</v>
      </c>
      <c r="X804">
        <v>1</v>
      </c>
      <c r="Y804">
        <v>0</v>
      </c>
      <c r="Z804">
        <v>200</v>
      </c>
      <c r="AA804">
        <v>150</v>
      </c>
      <c r="AB804">
        <v>79</v>
      </c>
      <c r="AC804">
        <v>0</v>
      </c>
      <c r="AD804">
        <v>84</v>
      </c>
      <c r="AE804">
        <v>105</v>
      </c>
      <c r="AF804">
        <v>29</v>
      </c>
      <c r="AG804">
        <v>55</v>
      </c>
      <c r="AH804">
        <v>0</v>
      </c>
      <c r="AI804">
        <v>72</v>
      </c>
      <c r="AJ804">
        <v>24</v>
      </c>
      <c r="AK804">
        <v>18</v>
      </c>
      <c r="AL804">
        <v>22</v>
      </c>
      <c r="AM804">
        <v>0</v>
      </c>
      <c r="AN804">
        <v>12</v>
      </c>
      <c r="AO804">
        <v>12</v>
      </c>
      <c r="AP804">
        <v>35</v>
      </c>
      <c r="AQ804">
        <v>0</v>
      </c>
      <c r="AR804">
        <f t="shared" si="2025"/>
        <v>59</v>
      </c>
      <c r="AS804">
        <f>IF(AND(IFERROR(VLOOKUP(AJ804,Equip!$A:$N,13,FALSE),0)&gt;=5,IFERROR(VLOOKUP(AJ804,Equip!$A:$N,13,FALSE),0)&lt;=9),INT(VLOOKUP(AJ804,Equip!$A:$N,6,FALSE)*SQRT(AN804)),0)</f>
        <v>0</v>
      </c>
      <c r="AT804">
        <f>IF(AND(IFERROR(VLOOKUP(AK804,Equip!$A:$N,13,FALSE),0)&gt;=5,IFERROR(VLOOKUP(AK804,Equip!$A:$N,13,FALSE),0)&lt;=9),INT(VLOOKUP(AK804,Equip!$A:$N,6,FALSE)*SQRT(AO804)),0)</f>
        <v>0</v>
      </c>
      <c r="AU804">
        <f>IF(AND(IFERROR(VLOOKUP(AL804,Equip!$A:$N,13,FALSE),0)&gt;=5,IFERROR(VLOOKUP(AL804,Equip!$A:$N,13,FALSE),0)&lt;=9),INT(VLOOKUP(AL804,Equip!$A:$N,6,FALSE)*SQRT(AP804)),0)</f>
        <v>0</v>
      </c>
      <c r="AV804">
        <f>IF(AND(IFERROR(VLOOKUP(AM804,Equip!$A:$N,13,FALSE),0)&gt;=5,IFERROR(VLOOKUP(AM804,Equip!$A:$N,13,FALSE),0)&lt;=9),INT(VLOOKUP(AM804,Equip!$A:$N,6,FALSE)*SQRT(AQ804)),0)</f>
        <v>0</v>
      </c>
      <c r="AW804">
        <f t="shared" si="1999"/>
        <v>0</v>
      </c>
      <c r="AX804">
        <f t="shared" si="2000"/>
        <v>491</v>
      </c>
    </row>
    <row r="805" spans="1:50">
      <c r="A805">
        <v>764</v>
      </c>
      <c r="B805" t="s">
        <v>1106</v>
      </c>
      <c r="C805" t="s">
        <v>1106</v>
      </c>
      <c r="D805">
        <v>1</v>
      </c>
      <c r="E805">
        <f>E804</f>
        <v>2800</v>
      </c>
      <c r="F805">
        <f t="shared" ref="F805" si="2124">F804</f>
        <v>1500</v>
      </c>
      <c r="G805">
        <f t="shared" ref="G805" si="2125">G804</f>
        <v>764</v>
      </c>
      <c r="H805">
        <f t="shared" ref="H805" si="2126">H804</f>
        <v>2</v>
      </c>
      <c r="I805">
        <f t="shared" ref="I805" si="2127">I804</f>
        <v>1</v>
      </c>
      <c r="J805">
        <f t="shared" ref="J805" si="2128">J804</f>
        <v>7</v>
      </c>
      <c r="K805">
        <v>11</v>
      </c>
      <c r="L805">
        <v>0</v>
      </c>
      <c r="M805">
        <v>99</v>
      </c>
      <c r="N805">
        <v>99</v>
      </c>
      <c r="O805">
        <v>25</v>
      </c>
      <c r="P805">
        <v>80</v>
      </c>
      <c r="Q805">
        <v>0</v>
      </c>
      <c r="R805">
        <v>35</v>
      </c>
      <c r="S805">
        <v>64</v>
      </c>
      <c r="T805">
        <v>0</v>
      </c>
      <c r="U805">
        <f t="shared" ref="U805" si="2129">U804</f>
        <v>10</v>
      </c>
      <c r="V805">
        <v>60</v>
      </c>
      <c r="W805">
        <f t="shared" ref="W805" si="2130">W804</f>
        <v>1</v>
      </c>
      <c r="X805">
        <v>2</v>
      </c>
      <c r="Y805">
        <f t="shared" ref="Y805" si="2131">Y804</f>
        <v>0</v>
      </c>
      <c r="Z805">
        <v>200</v>
      </c>
      <c r="AA805">
        <v>175</v>
      </c>
      <c r="AB805">
        <v>89</v>
      </c>
      <c r="AC805">
        <v>0</v>
      </c>
      <c r="AD805">
        <v>94</v>
      </c>
      <c r="AE805">
        <v>115</v>
      </c>
      <c r="AF805">
        <v>39</v>
      </c>
      <c r="AG805">
        <v>60</v>
      </c>
      <c r="AH805">
        <v>0</v>
      </c>
      <c r="AI805">
        <v>81</v>
      </c>
      <c r="AJ805">
        <v>52</v>
      </c>
      <c r="AK805">
        <v>57</v>
      </c>
      <c r="AL805">
        <v>53</v>
      </c>
      <c r="AM805">
        <v>0</v>
      </c>
      <c r="AN805">
        <v>18</v>
      </c>
      <c r="AO805">
        <v>18</v>
      </c>
      <c r="AP805">
        <v>35</v>
      </c>
      <c r="AQ805">
        <v>1</v>
      </c>
      <c r="AR805">
        <f t="shared" si="2025"/>
        <v>72</v>
      </c>
      <c r="AS805">
        <f>IF(AND(IFERROR(VLOOKUP(AJ805,Equip!$A:$N,13,FALSE),0)&gt;=5,IFERROR(VLOOKUP(AJ805,Equip!$A:$N,13,FALSE),0)&lt;=9),INT(VLOOKUP(AJ805,Equip!$A:$N,6,FALSE)*SQRT(AN805)),0)</f>
        <v>0</v>
      </c>
      <c r="AT805">
        <f>IF(AND(IFERROR(VLOOKUP(AK805,Equip!$A:$N,13,FALSE),0)&gt;=5,IFERROR(VLOOKUP(AK805,Equip!$A:$N,13,FALSE),0)&lt;=9),INT(VLOOKUP(AK805,Equip!$A:$N,6,FALSE)*SQRT(AO805)),0)</f>
        <v>0</v>
      </c>
      <c r="AU805">
        <f>IF(AND(IFERROR(VLOOKUP(AL805,Equip!$A:$N,13,FALSE),0)&gt;=5,IFERROR(VLOOKUP(AL805,Equip!$A:$N,13,FALSE),0)&lt;=9),INT(VLOOKUP(AL805,Equip!$A:$N,6,FALSE)*SQRT(AP805)),0)</f>
        <v>0</v>
      </c>
      <c r="AV805">
        <f>IF(AND(IFERROR(VLOOKUP(AM805,Equip!$A:$N,13,FALSE),0)&gt;=5,IFERROR(VLOOKUP(AM805,Equip!$A:$N,13,FALSE),0)&lt;=9),INT(VLOOKUP(AM805,Equip!$A:$N,6,FALSE)*SQRT(AQ805)),0)</f>
        <v>0</v>
      </c>
      <c r="AW805">
        <f t="shared" si="1999"/>
        <v>0</v>
      </c>
      <c r="AX805">
        <f t="shared" si="2000"/>
        <v>538</v>
      </c>
    </row>
    <row r="806" spans="1:50">
      <c r="A806">
        <v>765</v>
      </c>
      <c r="B806" t="s">
        <v>1107</v>
      </c>
      <c r="C806" t="s">
        <v>1108</v>
      </c>
      <c r="D806">
        <v>0</v>
      </c>
      <c r="E806">
        <v>1398</v>
      </c>
      <c r="F806">
        <v>797</v>
      </c>
      <c r="G806">
        <v>765</v>
      </c>
      <c r="H806">
        <v>0</v>
      </c>
      <c r="I806">
        <v>8</v>
      </c>
      <c r="J806">
        <v>0</v>
      </c>
      <c r="K806">
        <v>13</v>
      </c>
      <c r="L806">
        <v>1</v>
      </c>
      <c r="M806">
        <v>17</v>
      </c>
      <c r="N806">
        <v>17</v>
      </c>
      <c r="O806">
        <v>16</v>
      </c>
      <c r="P806">
        <v>3</v>
      </c>
      <c r="Q806">
        <v>22</v>
      </c>
      <c r="R806">
        <v>19</v>
      </c>
      <c r="S806">
        <v>0</v>
      </c>
      <c r="T806">
        <v>0</v>
      </c>
      <c r="U806">
        <v>5</v>
      </c>
      <c r="V806">
        <v>12</v>
      </c>
      <c r="W806">
        <v>1</v>
      </c>
      <c r="X806">
        <v>9</v>
      </c>
      <c r="Y806">
        <v>0</v>
      </c>
      <c r="Z806">
        <v>20</v>
      </c>
      <c r="AA806">
        <v>30</v>
      </c>
      <c r="AB806">
        <v>46</v>
      </c>
      <c r="AC806">
        <v>62</v>
      </c>
      <c r="AD806">
        <v>0</v>
      </c>
      <c r="AE806">
        <v>18</v>
      </c>
      <c r="AF806">
        <v>39</v>
      </c>
      <c r="AG806">
        <v>39</v>
      </c>
      <c r="AH806">
        <v>0</v>
      </c>
      <c r="AI806">
        <v>42</v>
      </c>
      <c r="AJ806">
        <v>810</v>
      </c>
      <c r="AK806">
        <v>811</v>
      </c>
      <c r="AL806">
        <v>-1</v>
      </c>
      <c r="AM806">
        <v>-1</v>
      </c>
      <c r="AN806">
        <v>2</v>
      </c>
      <c r="AO806">
        <v>2</v>
      </c>
      <c r="AP806">
        <v>0</v>
      </c>
      <c r="AQ806">
        <v>0</v>
      </c>
      <c r="AR806">
        <f t="shared" si="2025"/>
        <v>4</v>
      </c>
      <c r="AS806">
        <f>IF(AND(IFERROR(VLOOKUP(AJ806,Equip!$A:$N,13,FALSE),0)&gt;=5,IFERROR(VLOOKUP(AJ806,Equip!$A:$N,13,FALSE),0)&lt;=9),INT(VLOOKUP(AJ806,Equip!$A:$N,6,FALSE)*SQRT(AN806)),0)</f>
        <v>0</v>
      </c>
      <c r="AT806">
        <f>IF(AND(IFERROR(VLOOKUP(AK806,Equip!$A:$N,13,FALSE),0)&gt;=5,IFERROR(VLOOKUP(AK806,Equip!$A:$N,13,FALSE),0)&lt;=9),INT(VLOOKUP(AK806,Equip!$A:$N,6,FALSE)*SQRT(AO806)),0)</f>
        <v>0</v>
      </c>
      <c r="AU806">
        <f>IF(AND(IFERROR(VLOOKUP(AL806,Equip!$A:$N,13,FALSE),0)&gt;=5,IFERROR(VLOOKUP(AL806,Equip!$A:$N,13,FALSE),0)&lt;=9),INT(VLOOKUP(AL806,Equip!$A:$N,6,FALSE)*SQRT(AP806)),0)</f>
        <v>0</v>
      </c>
      <c r="AV806">
        <f>IF(AND(IFERROR(VLOOKUP(AM806,Equip!$A:$N,13,FALSE),0)&gt;=5,IFERROR(VLOOKUP(AM806,Equip!$A:$N,13,FALSE),0)&lt;=9),INT(VLOOKUP(AM806,Equip!$A:$N,6,FALSE)*SQRT(AQ806)),0)</f>
        <v>0</v>
      </c>
      <c r="AW806">
        <f t="shared" si="1999"/>
        <v>0</v>
      </c>
      <c r="AX806">
        <f t="shared" si="2000"/>
        <v>224</v>
      </c>
    </row>
    <row r="807" spans="1:50">
      <c r="A807">
        <v>765</v>
      </c>
      <c r="B807" t="s">
        <v>1107</v>
      </c>
      <c r="C807" t="s">
        <v>1108</v>
      </c>
      <c r="D807">
        <v>1</v>
      </c>
      <c r="E807">
        <f>E806</f>
        <v>1398</v>
      </c>
      <c r="F807">
        <f t="shared" ref="F807" si="2132">F806</f>
        <v>797</v>
      </c>
      <c r="G807">
        <f t="shared" ref="G807" si="2133">G806</f>
        <v>765</v>
      </c>
      <c r="H807">
        <f t="shared" ref="H807" si="2134">H806</f>
        <v>0</v>
      </c>
      <c r="I807">
        <f t="shared" ref="I807" si="2135">I806</f>
        <v>8</v>
      </c>
      <c r="J807">
        <f t="shared" ref="J807" si="2136">J806</f>
        <v>0</v>
      </c>
      <c r="K807">
        <v>13</v>
      </c>
      <c r="L807">
        <v>1</v>
      </c>
      <c r="M807">
        <v>21</v>
      </c>
      <c r="N807">
        <v>21</v>
      </c>
      <c r="O807">
        <v>19</v>
      </c>
      <c r="P807">
        <v>4</v>
      </c>
      <c r="Q807">
        <v>27</v>
      </c>
      <c r="R807">
        <v>24</v>
      </c>
      <c r="S807">
        <v>0</v>
      </c>
      <c r="T807">
        <v>0</v>
      </c>
      <c r="U807">
        <f t="shared" ref="U807" si="2137">U806</f>
        <v>5</v>
      </c>
      <c r="V807">
        <v>20</v>
      </c>
      <c r="W807">
        <f t="shared" ref="W807" si="2138">W806</f>
        <v>1</v>
      </c>
      <c r="X807">
        <v>11</v>
      </c>
      <c r="Y807">
        <f t="shared" ref="Y807" si="2139">Y806</f>
        <v>0</v>
      </c>
      <c r="Z807">
        <v>25</v>
      </c>
      <c r="AA807">
        <v>35</v>
      </c>
      <c r="AB807">
        <v>48</v>
      </c>
      <c r="AC807">
        <v>66</v>
      </c>
      <c r="AD807">
        <v>0</v>
      </c>
      <c r="AE807">
        <v>19</v>
      </c>
      <c r="AF807">
        <v>55</v>
      </c>
      <c r="AG807">
        <v>44</v>
      </c>
      <c r="AH807">
        <v>0</v>
      </c>
      <c r="AI807">
        <v>44</v>
      </c>
      <c r="AJ807">
        <v>810</v>
      </c>
      <c r="AK807">
        <v>863</v>
      </c>
      <c r="AL807">
        <v>0</v>
      </c>
      <c r="AM807">
        <v>-1</v>
      </c>
      <c r="AN807">
        <v>2</v>
      </c>
      <c r="AO807">
        <v>2</v>
      </c>
      <c r="AP807">
        <v>0</v>
      </c>
      <c r="AQ807">
        <v>0</v>
      </c>
      <c r="AR807">
        <f t="shared" si="2025"/>
        <v>4</v>
      </c>
      <c r="AS807">
        <f>IF(AND(IFERROR(VLOOKUP(AJ807,Equip!$A:$N,13,FALSE),0)&gt;=5,IFERROR(VLOOKUP(AJ807,Equip!$A:$N,13,FALSE),0)&lt;=9),INT(VLOOKUP(AJ807,Equip!$A:$N,6,FALSE)*SQRT(AN807)),0)</f>
        <v>0</v>
      </c>
      <c r="AT807">
        <f>IF(AND(IFERROR(VLOOKUP(AK807,Equip!$A:$N,13,FALSE),0)&gt;=5,IFERROR(VLOOKUP(AK807,Equip!$A:$N,13,FALSE),0)&lt;=9),INT(VLOOKUP(AK807,Equip!$A:$N,6,FALSE)*SQRT(AO807)),0)</f>
        <v>0</v>
      </c>
      <c r="AU807">
        <f>IF(AND(IFERROR(VLOOKUP(AL807,Equip!$A:$N,13,FALSE),0)&gt;=5,IFERROR(VLOOKUP(AL807,Equip!$A:$N,13,FALSE),0)&lt;=9),INT(VLOOKUP(AL807,Equip!$A:$N,6,FALSE)*SQRT(AP807)),0)</f>
        <v>0</v>
      </c>
      <c r="AV807">
        <f>IF(AND(IFERROR(VLOOKUP(AM807,Equip!$A:$N,13,FALSE),0)&gt;=5,IFERROR(VLOOKUP(AM807,Equip!$A:$N,13,FALSE),0)&lt;=9),INT(VLOOKUP(AM807,Equip!$A:$N,6,FALSE)*SQRT(AQ807)),0)</f>
        <v>0</v>
      </c>
      <c r="AW807">
        <f t="shared" si="1999"/>
        <v>0</v>
      </c>
      <c r="AX807">
        <f t="shared" si="2000"/>
        <v>242</v>
      </c>
    </row>
    <row r="808" spans="1:50">
      <c r="A808">
        <v>766</v>
      </c>
      <c r="B808" t="s">
        <v>1265</v>
      </c>
      <c r="C808" t="s">
        <v>1109</v>
      </c>
      <c r="D808">
        <v>0</v>
      </c>
      <c r="E808">
        <v>2397</v>
      </c>
      <c r="F808">
        <v>1233</v>
      </c>
      <c r="G808">
        <v>766</v>
      </c>
      <c r="H808">
        <v>1</v>
      </c>
      <c r="I808">
        <v>3</v>
      </c>
      <c r="J808">
        <v>6</v>
      </c>
      <c r="K808">
        <v>8</v>
      </c>
      <c r="L808">
        <v>7</v>
      </c>
      <c r="M808">
        <v>54</v>
      </c>
      <c r="N808">
        <v>54</v>
      </c>
      <c r="O808">
        <v>59</v>
      </c>
      <c r="P808">
        <v>59</v>
      </c>
      <c r="Q808">
        <v>0</v>
      </c>
      <c r="R808">
        <v>22</v>
      </c>
      <c r="S808">
        <v>18</v>
      </c>
      <c r="T808">
        <v>0</v>
      </c>
      <c r="U808">
        <v>1</v>
      </c>
      <c r="V808">
        <v>10</v>
      </c>
      <c r="W808">
        <v>3</v>
      </c>
      <c r="X808">
        <v>10</v>
      </c>
      <c r="Y808">
        <v>0</v>
      </c>
      <c r="Z808">
        <v>70</v>
      </c>
      <c r="AA808">
        <v>110</v>
      </c>
      <c r="AB808">
        <v>79</v>
      </c>
      <c r="AC808">
        <v>0</v>
      </c>
      <c r="AD808">
        <v>48</v>
      </c>
      <c r="AE808">
        <v>74</v>
      </c>
      <c r="AF808">
        <v>59</v>
      </c>
      <c r="AG808">
        <v>42</v>
      </c>
      <c r="AH808">
        <v>0</v>
      </c>
      <c r="AI808">
        <v>35</v>
      </c>
      <c r="AJ808">
        <v>742</v>
      </c>
      <c r="AK808">
        <v>0</v>
      </c>
      <c r="AL808">
        <v>0</v>
      </c>
      <c r="AM808">
        <v>-1</v>
      </c>
      <c r="AN808">
        <v>3</v>
      </c>
      <c r="AO808">
        <v>3</v>
      </c>
      <c r="AP808">
        <v>3</v>
      </c>
      <c r="AQ808">
        <v>0</v>
      </c>
      <c r="AR808">
        <f t="shared" si="2025"/>
        <v>9</v>
      </c>
      <c r="AS808">
        <f>IF(AND(IFERROR(VLOOKUP(AJ808,Equip!$A:$N,13,FALSE),0)&gt;=5,IFERROR(VLOOKUP(AJ808,Equip!$A:$N,13,FALSE),0)&lt;=9),INT(VLOOKUP(AJ808,Equip!$A:$N,6,FALSE)*SQRT(AN808)),0)</f>
        <v>0</v>
      </c>
      <c r="AT808">
        <f>IF(AND(IFERROR(VLOOKUP(AK808,Equip!$A:$N,13,FALSE),0)&gt;=5,IFERROR(VLOOKUP(AK808,Equip!$A:$N,13,FALSE),0)&lt;=9),INT(VLOOKUP(AK808,Equip!$A:$N,6,FALSE)*SQRT(AO808)),0)</f>
        <v>0</v>
      </c>
      <c r="AU808">
        <f>IF(AND(IFERROR(VLOOKUP(AL808,Equip!$A:$N,13,FALSE),0)&gt;=5,IFERROR(VLOOKUP(AL808,Equip!$A:$N,13,FALSE),0)&lt;=9),INT(VLOOKUP(AL808,Equip!$A:$N,6,FALSE)*SQRT(AP808)),0)</f>
        <v>0</v>
      </c>
      <c r="AV808">
        <f>IF(AND(IFERROR(VLOOKUP(AM808,Equip!$A:$N,13,FALSE),0)&gt;=5,IFERROR(VLOOKUP(AM808,Equip!$A:$N,13,FALSE),0)&lt;=9),INT(VLOOKUP(AM808,Equip!$A:$N,6,FALSE)*SQRT(AQ808)),0)</f>
        <v>0</v>
      </c>
      <c r="AW808">
        <f t="shared" si="1999"/>
        <v>0</v>
      </c>
      <c r="AX808">
        <f t="shared" si="2000"/>
        <v>332</v>
      </c>
    </row>
    <row r="809" spans="1:50">
      <c r="A809">
        <v>766</v>
      </c>
      <c r="B809" t="s">
        <v>1265</v>
      </c>
      <c r="C809" t="s">
        <v>1109</v>
      </c>
      <c r="D809">
        <v>1</v>
      </c>
      <c r="E809">
        <f t="shared" ref="E809:E810" si="2140">E808</f>
        <v>2397</v>
      </c>
      <c r="F809">
        <f t="shared" ref="F809:F810" si="2141">F808</f>
        <v>1233</v>
      </c>
      <c r="G809">
        <f t="shared" ref="G809:G810" si="2142">G808</f>
        <v>766</v>
      </c>
      <c r="H809">
        <f t="shared" ref="H809:H810" si="2143">H808</f>
        <v>1</v>
      </c>
      <c r="I809">
        <f t="shared" ref="I809:I810" si="2144">I808</f>
        <v>3</v>
      </c>
      <c r="J809">
        <f t="shared" ref="J809:J810" si="2145">J808</f>
        <v>6</v>
      </c>
      <c r="K809">
        <v>8</v>
      </c>
      <c r="L809">
        <v>7</v>
      </c>
      <c r="M809">
        <v>64</v>
      </c>
      <c r="N809">
        <v>64</v>
      </c>
      <c r="O809">
        <v>64</v>
      </c>
      <c r="P809">
        <v>64</v>
      </c>
      <c r="Q809">
        <v>0</v>
      </c>
      <c r="R809">
        <v>30</v>
      </c>
      <c r="S809">
        <v>35</v>
      </c>
      <c r="T809">
        <v>0</v>
      </c>
      <c r="U809">
        <f t="shared" ref="U809:U810" si="2146">U808</f>
        <v>1</v>
      </c>
      <c r="V809">
        <v>13</v>
      </c>
      <c r="W809">
        <f t="shared" ref="W809:W810" si="2147">W808</f>
        <v>3</v>
      </c>
      <c r="X809">
        <v>15</v>
      </c>
      <c r="Y809">
        <f t="shared" ref="Y809:Y810" si="2148">Y808</f>
        <v>0</v>
      </c>
      <c r="Z809">
        <v>85</v>
      </c>
      <c r="AA809">
        <v>120</v>
      </c>
      <c r="AB809">
        <v>89</v>
      </c>
      <c r="AC809">
        <v>0</v>
      </c>
      <c r="AD809">
        <v>70</v>
      </c>
      <c r="AE809">
        <v>89</v>
      </c>
      <c r="AF809">
        <v>89</v>
      </c>
      <c r="AG809">
        <v>60</v>
      </c>
      <c r="AH809">
        <v>0</v>
      </c>
      <c r="AI809">
        <v>38</v>
      </c>
      <c r="AJ809">
        <v>136</v>
      </c>
      <c r="AK809">
        <v>806</v>
      </c>
      <c r="AL809">
        <v>0</v>
      </c>
      <c r="AM809">
        <v>0</v>
      </c>
      <c r="AN809">
        <v>3</v>
      </c>
      <c r="AO809">
        <v>3</v>
      </c>
      <c r="AP809">
        <v>3</v>
      </c>
      <c r="AQ809">
        <v>3</v>
      </c>
      <c r="AR809">
        <f t="shared" si="2025"/>
        <v>12</v>
      </c>
      <c r="AS809">
        <f>IF(AND(IFERROR(VLOOKUP(AJ809,Equip!$A:$N,13,FALSE),0)&gt;=5,IFERROR(VLOOKUP(AJ809,Equip!$A:$N,13,FALSE),0)&lt;=9),INT(VLOOKUP(AJ809,Equip!$A:$N,6,FALSE)*SQRT(AN809)),0)</f>
        <v>0</v>
      </c>
      <c r="AT809">
        <f>IF(AND(IFERROR(VLOOKUP(AK809,Equip!$A:$N,13,FALSE),0)&gt;=5,IFERROR(VLOOKUP(AK809,Equip!$A:$N,13,FALSE),0)&lt;=9),INT(VLOOKUP(AK809,Equip!$A:$N,6,FALSE)*SQRT(AO809)),0)</f>
        <v>0</v>
      </c>
      <c r="AU809">
        <f>IF(AND(IFERROR(VLOOKUP(AL809,Equip!$A:$N,13,FALSE),0)&gt;=5,IFERROR(VLOOKUP(AL809,Equip!$A:$N,13,FALSE),0)&lt;=9),INT(VLOOKUP(AL809,Equip!$A:$N,6,FALSE)*SQRT(AP809)),0)</f>
        <v>0</v>
      </c>
      <c r="AV809">
        <f>IF(AND(IFERROR(VLOOKUP(AM809,Equip!$A:$N,13,FALSE),0)&gt;=5,IFERROR(VLOOKUP(AM809,Equip!$A:$N,13,FALSE),0)&lt;=9),INT(VLOOKUP(AM809,Equip!$A:$N,6,FALSE)*SQRT(AQ809)),0)</f>
        <v>0</v>
      </c>
      <c r="AW809">
        <f t="shared" si="1999"/>
        <v>0</v>
      </c>
      <c r="AX809">
        <f t="shared" si="2000"/>
        <v>410</v>
      </c>
    </row>
    <row r="810" spans="1:50">
      <c r="A810">
        <v>766</v>
      </c>
      <c r="B810" t="s">
        <v>1265</v>
      </c>
      <c r="C810" t="s">
        <v>1109</v>
      </c>
      <c r="D810">
        <v>2</v>
      </c>
      <c r="E810">
        <f t="shared" si="2140"/>
        <v>2397</v>
      </c>
      <c r="F810">
        <f t="shared" si="2141"/>
        <v>1233</v>
      </c>
      <c r="G810">
        <f t="shared" si="2142"/>
        <v>766</v>
      </c>
      <c r="H810">
        <f t="shared" si="2143"/>
        <v>1</v>
      </c>
      <c r="I810">
        <f t="shared" si="2144"/>
        <v>3</v>
      </c>
      <c r="J810">
        <f t="shared" si="2145"/>
        <v>6</v>
      </c>
      <c r="K810">
        <v>8</v>
      </c>
      <c r="L810">
        <v>7</v>
      </c>
      <c r="M810">
        <v>74</v>
      </c>
      <c r="N810">
        <v>74</v>
      </c>
      <c r="O810">
        <v>92</v>
      </c>
      <c r="P810">
        <v>90</v>
      </c>
      <c r="Q810">
        <v>0</v>
      </c>
      <c r="R810">
        <v>40</v>
      </c>
      <c r="S810">
        <v>43</v>
      </c>
      <c r="T810">
        <v>0</v>
      </c>
      <c r="U810">
        <f t="shared" si="2146"/>
        <v>1</v>
      </c>
      <c r="V810">
        <v>33</v>
      </c>
      <c r="W810">
        <f t="shared" si="2147"/>
        <v>3</v>
      </c>
      <c r="X810">
        <v>25</v>
      </c>
      <c r="Y810">
        <f t="shared" si="2148"/>
        <v>0</v>
      </c>
      <c r="Z810">
        <v>100</v>
      </c>
      <c r="AA810">
        <v>130</v>
      </c>
      <c r="AB810">
        <v>117</v>
      </c>
      <c r="AC810">
        <v>0</v>
      </c>
      <c r="AD810">
        <v>77</v>
      </c>
      <c r="AE810">
        <v>117</v>
      </c>
      <c r="AF810">
        <v>99</v>
      </c>
      <c r="AG810">
        <v>66</v>
      </c>
      <c r="AH810">
        <v>0</v>
      </c>
      <c r="AI810">
        <v>45</v>
      </c>
      <c r="AJ810">
        <v>133</v>
      </c>
      <c r="AK810">
        <v>807</v>
      </c>
      <c r="AL810">
        <v>0</v>
      </c>
      <c r="AM810">
        <v>0</v>
      </c>
      <c r="AN810">
        <v>3</v>
      </c>
      <c r="AO810">
        <v>3</v>
      </c>
      <c r="AP810">
        <v>3</v>
      </c>
      <c r="AQ810">
        <v>3</v>
      </c>
      <c r="AR810">
        <f t="shared" si="2025"/>
        <v>12</v>
      </c>
      <c r="AS810">
        <f>IF(AND(IFERROR(VLOOKUP(AJ810,Equip!$A:$N,13,FALSE),0)&gt;=5,IFERROR(VLOOKUP(AJ810,Equip!$A:$N,13,FALSE),0)&lt;=9),INT(VLOOKUP(AJ810,Equip!$A:$N,6,FALSE)*SQRT(AN810)),0)</f>
        <v>0</v>
      </c>
      <c r="AT810">
        <f>IF(AND(IFERROR(VLOOKUP(AK810,Equip!$A:$N,13,FALSE),0)&gt;=5,IFERROR(VLOOKUP(AK810,Equip!$A:$N,13,FALSE),0)&lt;=9),INT(VLOOKUP(AK810,Equip!$A:$N,6,FALSE)*SQRT(AO810)),0)</f>
        <v>0</v>
      </c>
      <c r="AU810">
        <f>IF(AND(IFERROR(VLOOKUP(AL810,Equip!$A:$N,13,FALSE),0)&gt;=5,IFERROR(VLOOKUP(AL810,Equip!$A:$N,13,FALSE),0)&lt;=9),INT(VLOOKUP(AL810,Equip!$A:$N,6,FALSE)*SQRT(AP810)),0)</f>
        <v>0</v>
      </c>
      <c r="AV810">
        <f>IF(AND(IFERROR(VLOOKUP(AM810,Equip!$A:$N,13,FALSE),0)&gt;=5,IFERROR(VLOOKUP(AM810,Equip!$A:$N,13,FALSE),0)&lt;=9),INT(VLOOKUP(AM810,Equip!$A:$N,6,FALSE)*SQRT(AQ810)),0)</f>
        <v>0</v>
      </c>
      <c r="AW810">
        <f t="shared" si="1999"/>
        <v>0</v>
      </c>
      <c r="AX810">
        <f t="shared" si="2000"/>
        <v>496</v>
      </c>
    </row>
    <row r="811" spans="1:50">
      <c r="A811">
        <v>767</v>
      </c>
      <c r="B811" t="s">
        <v>745</v>
      </c>
      <c r="C811" t="s">
        <v>745</v>
      </c>
      <c r="D811">
        <v>0</v>
      </c>
      <c r="E811">
        <v>1284</v>
      </c>
      <c r="F811">
        <v>742</v>
      </c>
      <c r="G811">
        <v>11</v>
      </c>
      <c r="H811">
        <v>1</v>
      </c>
      <c r="I811">
        <v>1</v>
      </c>
      <c r="J811">
        <v>3</v>
      </c>
      <c r="K811">
        <v>1</v>
      </c>
      <c r="L811">
        <v>1</v>
      </c>
      <c r="M811">
        <v>15</v>
      </c>
      <c r="N811">
        <v>15</v>
      </c>
      <c r="O811">
        <v>10</v>
      </c>
      <c r="P811">
        <v>5</v>
      </c>
      <c r="Q811">
        <v>27</v>
      </c>
      <c r="R811">
        <v>40</v>
      </c>
      <c r="S811">
        <v>10</v>
      </c>
      <c r="T811">
        <v>20</v>
      </c>
      <c r="U811">
        <v>10</v>
      </c>
      <c r="V811">
        <v>5</v>
      </c>
      <c r="W811">
        <v>1</v>
      </c>
      <c r="X811">
        <v>17</v>
      </c>
      <c r="Y811">
        <v>0</v>
      </c>
      <c r="Z811">
        <v>15</v>
      </c>
      <c r="AA811">
        <v>10</v>
      </c>
      <c r="AB811">
        <v>30</v>
      </c>
      <c r="AC811">
        <v>77</v>
      </c>
      <c r="AD811">
        <v>40</v>
      </c>
      <c r="AE811">
        <v>20</v>
      </c>
      <c r="AF811">
        <v>49</v>
      </c>
      <c r="AG811">
        <v>88</v>
      </c>
      <c r="AH811">
        <v>50</v>
      </c>
      <c r="AI811">
        <v>18</v>
      </c>
      <c r="AJ811">
        <v>2</v>
      </c>
      <c r="AK811">
        <v>13</v>
      </c>
      <c r="AL811">
        <v>-1</v>
      </c>
      <c r="AM811">
        <v>-1</v>
      </c>
      <c r="AN811">
        <v>0</v>
      </c>
      <c r="AO811">
        <v>0</v>
      </c>
      <c r="AP811">
        <v>0</v>
      </c>
      <c r="AQ811">
        <v>0</v>
      </c>
      <c r="AR811">
        <f t="shared" si="2025"/>
        <v>0</v>
      </c>
      <c r="AS811">
        <f>IF(AND(IFERROR(VLOOKUP(AJ811,Equip!$A:$N,13,FALSE),0)&gt;=5,IFERROR(VLOOKUP(AJ811,Equip!$A:$N,13,FALSE),0)&lt;=9),INT(VLOOKUP(AJ811,Equip!$A:$N,6,FALSE)*SQRT(AN811)),0)</f>
        <v>0</v>
      </c>
      <c r="AT811">
        <f>IF(AND(IFERROR(VLOOKUP(AK811,Equip!$A:$N,13,FALSE),0)&gt;=5,IFERROR(VLOOKUP(AK811,Equip!$A:$N,13,FALSE),0)&lt;=9),INT(VLOOKUP(AK811,Equip!$A:$N,6,FALSE)*SQRT(AO811)),0)</f>
        <v>0</v>
      </c>
      <c r="AU811">
        <f>IF(AND(IFERROR(VLOOKUP(AL811,Equip!$A:$N,13,FALSE),0)&gt;=5,IFERROR(VLOOKUP(AL811,Equip!$A:$N,13,FALSE),0)&lt;=9),INT(VLOOKUP(AL811,Equip!$A:$N,6,FALSE)*SQRT(AP811)),0)</f>
        <v>0</v>
      </c>
      <c r="AV811">
        <f>IF(AND(IFERROR(VLOOKUP(AM811,Equip!$A:$N,13,FALSE),0)&gt;=5,IFERROR(VLOOKUP(AM811,Equip!$A:$N,13,FALSE),0)&lt;=9),INT(VLOOKUP(AM811,Equip!$A:$N,6,FALSE)*SQRT(AQ811)),0)</f>
        <v>0</v>
      </c>
      <c r="AW811">
        <f t="shared" si="1999"/>
        <v>0</v>
      </c>
      <c r="AX811">
        <f t="shared" si="2000"/>
        <v>338</v>
      </c>
    </row>
    <row r="812" spans="1:50">
      <c r="A812">
        <v>767</v>
      </c>
      <c r="B812" t="s">
        <v>745</v>
      </c>
      <c r="C812" t="s">
        <v>745</v>
      </c>
      <c r="D812">
        <v>1</v>
      </c>
      <c r="E812">
        <f>E811</f>
        <v>1284</v>
      </c>
      <c r="F812">
        <f t="shared" ref="F812" si="2149">F811</f>
        <v>742</v>
      </c>
      <c r="G812">
        <f t="shared" ref="G812" si="2150">G811</f>
        <v>11</v>
      </c>
      <c r="H812">
        <f t="shared" ref="H812" si="2151">H811</f>
        <v>1</v>
      </c>
      <c r="I812">
        <f t="shared" ref="I812" si="2152">I811</f>
        <v>1</v>
      </c>
      <c r="J812">
        <f t="shared" ref="J812" si="2153">J811</f>
        <v>3</v>
      </c>
      <c r="K812">
        <v>1</v>
      </c>
      <c r="L812">
        <v>1</v>
      </c>
      <c r="M812">
        <v>30</v>
      </c>
      <c r="N812">
        <v>30</v>
      </c>
      <c r="O812">
        <v>18</v>
      </c>
      <c r="P812">
        <v>16</v>
      </c>
      <c r="Q812">
        <v>37</v>
      </c>
      <c r="R812">
        <v>53</v>
      </c>
      <c r="S812">
        <v>21</v>
      </c>
      <c r="T812">
        <v>31</v>
      </c>
      <c r="U812">
        <f t="shared" ref="U812" si="2154">U811</f>
        <v>10</v>
      </c>
      <c r="V812">
        <v>13</v>
      </c>
      <c r="W812">
        <f t="shared" ref="W812" si="2155">W811</f>
        <v>1</v>
      </c>
      <c r="X812">
        <v>12</v>
      </c>
      <c r="Y812">
        <f t="shared" ref="Y812" si="2156">Y811</f>
        <v>0</v>
      </c>
      <c r="Z812">
        <v>15</v>
      </c>
      <c r="AA812">
        <v>20</v>
      </c>
      <c r="AB812">
        <v>47</v>
      </c>
      <c r="AC812">
        <v>81</v>
      </c>
      <c r="AD812">
        <v>46</v>
      </c>
      <c r="AE812">
        <v>47</v>
      </c>
      <c r="AF812">
        <v>49</v>
      </c>
      <c r="AG812">
        <v>90</v>
      </c>
      <c r="AH812">
        <v>60</v>
      </c>
      <c r="AI812">
        <v>37</v>
      </c>
      <c r="AJ812">
        <v>3</v>
      </c>
      <c r="AK812">
        <v>125</v>
      </c>
      <c r="AL812">
        <v>0</v>
      </c>
      <c r="AM812">
        <v>-1</v>
      </c>
      <c r="AN812">
        <v>0</v>
      </c>
      <c r="AO812">
        <v>0</v>
      </c>
      <c r="AP812">
        <v>0</v>
      </c>
      <c r="AQ812">
        <v>0</v>
      </c>
      <c r="AR812">
        <f t="shared" si="2025"/>
        <v>0</v>
      </c>
      <c r="AS812">
        <f>IF(AND(IFERROR(VLOOKUP(AJ812,Equip!$A:$N,13,FALSE),0)&gt;=5,IFERROR(VLOOKUP(AJ812,Equip!$A:$N,13,FALSE),0)&lt;=9),INT(VLOOKUP(AJ812,Equip!$A:$N,6,FALSE)*SQRT(AN812)),0)</f>
        <v>0</v>
      </c>
      <c r="AT812">
        <f>IF(AND(IFERROR(VLOOKUP(AK812,Equip!$A:$N,13,FALSE),0)&gt;=5,IFERROR(VLOOKUP(AK812,Equip!$A:$N,13,FALSE),0)&lt;=9),INT(VLOOKUP(AK812,Equip!$A:$N,6,FALSE)*SQRT(AO812)),0)</f>
        <v>0</v>
      </c>
      <c r="AU812">
        <f>IF(AND(IFERROR(VLOOKUP(AL812,Equip!$A:$N,13,FALSE),0)&gt;=5,IFERROR(VLOOKUP(AL812,Equip!$A:$N,13,FALSE),0)&lt;=9),INT(VLOOKUP(AL812,Equip!$A:$N,6,FALSE)*SQRT(AP812)),0)</f>
        <v>0</v>
      </c>
      <c r="AV812">
        <f>IF(AND(IFERROR(VLOOKUP(AM812,Equip!$A:$N,13,FALSE),0)&gt;=5,IFERROR(VLOOKUP(AM812,Equip!$A:$N,13,FALSE),0)&lt;=9),INT(VLOOKUP(AM812,Equip!$A:$N,6,FALSE)*SQRT(AQ812)),0)</f>
        <v>0</v>
      </c>
      <c r="AW812">
        <f t="shared" si="1999"/>
        <v>0</v>
      </c>
      <c r="AX812">
        <f t="shared" si="2000"/>
        <v>438</v>
      </c>
    </row>
    <row r="813" spans="1:50">
      <c r="A813">
        <v>768</v>
      </c>
      <c r="B813" t="s">
        <v>1110</v>
      </c>
      <c r="C813" t="s">
        <v>1111</v>
      </c>
      <c r="D813">
        <v>0</v>
      </c>
      <c r="E813">
        <v>2181</v>
      </c>
      <c r="F813">
        <v>1131</v>
      </c>
      <c r="G813">
        <v>768</v>
      </c>
      <c r="H813">
        <v>1</v>
      </c>
      <c r="I813">
        <v>5</v>
      </c>
      <c r="J813">
        <v>3</v>
      </c>
      <c r="K813">
        <v>8</v>
      </c>
      <c r="L813">
        <v>7</v>
      </c>
      <c r="M813">
        <v>52</v>
      </c>
      <c r="N813">
        <v>52</v>
      </c>
      <c r="O813">
        <v>42</v>
      </c>
      <c r="P813">
        <v>28</v>
      </c>
      <c r="Q813">
        <v>15</v>
      </c>
      <c r="R813">
        <v>30</v>
      </c>
      <c r="S813">
        <v>18</v>
      </c>
      <c r="T813">
        <v>0</v>
      </c>
      <c r="U813">
        <v>11</v>
      </c>
      <c r="V813">
        <v>14</v>
      </c>
      <c r="W813">
        <v>3</v>
      </c>
      <c r="X813">
        <v>10</v>
      </c>
      <c r="Y813">
        <v>0</v>
      </c>
      <c r="Z813">
        <v>50</v>
      </c>
      <c r="AA813">
        <v>90</v>
      </c>
      <c r="AB813">
        <v>67</v>
      </c>
      <c r="AC813">
        <v>45</v>
      </c>
      <c r="AD813">
        <v>59</v>
      </c>
      <c r="AE813">
        <v>43</v>
      </c>
      <c r="AF813">
        <v>49</v>
      </c>
      <c r="AG813">
        <v>60</v>
      </c>
      <c r="AH813">
        <v>0</v>
      </c>
      <c r="AI813">
        <v>39</v>
      </c>
      <c r="AJ813">
        <v>190</v>
      </c>
      <c r="AK813">
        <v>775</v>
      </c>
      <c r="AL813">
        <v>0</v>
      </c>
      <c r="AM813">
        <v>0</v>
      </c>
      <c r="AN813">
        <v>0</v>
      </c>
      <c r="AO813">
        <v>0</v>
      </c>
      <c r="AP813">
        <v>0</v>
      </c>
      <c r="AQ813">
        <v>2</v>
      </c>
      <c r="AR813">
        <f t="shared" si="2025"/>
        <v>2</v>
      </c>
      <c r="AS813">
        <f>IF(AND(IFERROR(VLOOKUP(AJ813,Equip!$A:$N,13,FALSE),0)&gt;=5,IFERROR(VLOOKUP(AJ813,Equip!$A:$N,13,FALSE),0)&lt;=9),INT(VLOOKUP(AJ813,Equip!$A:$N,6,FALSE)*SQRT(AN813)),0)</f>
        <v>0</v>
      </c>
      <c r="AT813">
        <f>IF(AND(IFERROR(VLOOKUP(AK813,Equip!$A:$N,13,FALSE),0)&gt;=5,IFERROR(VLOOKUP(AK813,Equip!$A:$N,13,FALSE),0)&lt;=9),INT(VLOOKUP(AK813,Equip!$A:$N,6,FALSE)*SQRT(AO813)),0)</f>
        <v>0</v>
      </c>
      <c r="AU813">
        <f>IF(AND(IFERROR(VLOOKUP(AL813,Equip!$A:$N,13,FALSE),0)&gt;=5,IFERROR(VLOOKUP(AL813,Equip!$A:$N,13,FALSE),0)&lt;=9),INT(VLOOKUP(AL813,Equip!$A:$N,6,FALSE)*SQRT(AP813)),0)</f>
        <v>0</v>
      </c>
      <c r="AV813">
        <f>IF(AND(IFERROR(VLOOKUP(AM813,Equip!$A:$N,13,FALSE),0)&gt;=5,IFERROR(VLOOKUP(AM813,Equip!$A:$N,13,FALSE),0)&lt;=9),INT(VLOOKUP(AM813,Equip!$A:$N,6,FALSE)*SQRT(AQ813)),0)</f>
        <v>0</v>
      </c>
      <c r="AW813">
        <f t="shared" si="1999"/>
        <v>0</v>
      </c>
      <c r="AX813">
        <f t="shared" si="2000"/>
        <v>365</v>
      </c>
    </row>
    <row r="814" spans="1:50">
      <c r="A814">
        <v>768</v>
      </c>
      <c r="B814" t="s">
        <v>1110</v>
      </c>
      <c r="C814" t="s">
        <v>1111</v>
      </c>
      <c r="D814">
        <v>1</v>
      </c>
      <c r="E814">
        <f>E813</f>
        <v>2181</v>
      </c>
      <c r="F814">
        <f t="shared" ref="F814" si="2157">F813</f>
        <v>1131</v>
      </c>
      <c r="G814">
        <f t="shared" ref="G814" si="2158">G813</f>
        <v>768</v>
      </c>
      <c r="H814">
        <f t="shared" ref="H814" si="2159">H813</f>
        <v>1</v>
      </c>
      <c r="I814">
        <f t="shared" ref="I814" si="2160">I813</f>
        <v>5</v>
      </c>
      <c r="J814">
        <f t="shared" ref="J814" si="2161">J813</f>
        <v>3</v>
      </c>
      <c r="K814">
        <v>12</v>
      </c>
      <c r="L814">
        <v>7</v>
      </c>
      <c r="M814">
        <v>67</v>
      </c>
      <c r="N814">
        <v>67</v>
      </c>
      <c r="O814">
        <v>0</v>
      </c>
      <c r="P814">
        <v>34</v>
      </c>
      <c r="Q814">
        <v>0</v>
      </c>
      <c r="R814">
        <v>53</v>
      </c>
      <c r="S814">
        <v>35</v>
      </c>
      <c r="T814">
        <v>0</v>
      </c>
      <c r="U814">
        <f t="shared" ref="U814" si="2162">U813</f>
        <v>11</v>
      </c>
      <c r="V814">
        <v>44</v>
      </c>
      <c r="W814">
        <v>1</v>
      </c>
      <c r="X814">
        <v>12</v>
      </c>
      <c r="Y814">
        <f t="shared" ref="Y814" si="2163">Y813</f>
        <v>0</v>
      </c>
      <c r="Z814">
        <v>60</v>
      </c>
      <c r="AA814">
        <v>70</v>
      </c>
      <c r="AB814">
        <v>47</v>
      </c>
      <c r="AC814">
        <v>0</v>
      </c>
      <c r="AD814">
        <v>78</v>
      </c>
      <c r="AE814">
        <v>63</v>
      </c>
      <c r="AF814">
        <v>59</v>
      </c>
      <c r="AG814">
        <v>73</v>
      </c>
      <c r="AH814">
        <v>0</v>
      </c>
      <c r="AI814">
        <v>79</v>
      </c>
      <c r="AJ814">
        <v>746</v>
      </c>
      <c r="AK814">
        <v>242</v>
      </c>
      <c r="AL814">
        <v>839</v>
      </c>
      <c r="AM814">
        <v>0</v>
      </c>
      <c r="AN814">
        <v>27</v>
      </c>
      <c r="AO814">
        <v>12</v>
      </c>
      <c r="AP814">
        <v>12</v>
      </c>
      <c r="AQ814">
        <v>5</v>
      </c>
      <c r="AR814">
        <f t="shared" si="2025"/>
        <v>56</v>
      </c>
      <c r="AS814">
        <f>IF(AND(IFERROR(VLOOKUP(AJ814,Equip!$A:$N,13,FALSE),0)&gt;=5,IFERROR(VLOOKUP(AJ814,Equip!$A:$N,13,FALSE),0)&lt;=9),INT(VLOOKUP(AJ814,Equip!$A:$N,6,FALSE)*SQRT(AN814)),0)</f>
        <v>0</v>
      </c>
      <c r="AT814">
        <f>IF(AND(IFERROR(VLOOKUP(AK814,Equip!$A:$N,13,FALSE),0)&gt;=5,IFERROR(VLOOKUP(AK814,Equip!$A:$N,13,FALSE),0)&lt;=9),INT(VLOOKUP(AK814,Equip!$A:$N,6,FALSE)*SQRT(AO814)),0)</f>
        <v>0</v>
      </c>
      <c r="AU814">
        <f>IF(AND(IFERROR(VLOOKUP(AL814,Equip!$A:$N,13,FALSE),0)&gt;=5,IFERROR(VLOOKUP(AL814,Equip!$A:$N,13,FALSE),0)&lt;=9),INT(VLOOKUP(AL814,Equip!$A:$N,6,FALSE)*SQRT(AP814)),0)</f>
        <v>0</v>
      </c>
      <c r="AV814">
        <f>IF(AND(IFERROR(VLOOKUP(AM814,Equip!$A:$N,13,FALSE),0)&gt;=5,IFERROR(VLOOKUP(AM814,Equip!$A:$N,13,FALSE),0)&lt;=9),INT(VLOOKUP(AM814,Equip!$A:$N,6,FALSE)*SQRT(AQ814)),0)</f>
        <v>0</v>
      </c>
      <c r="AW814">
        <f t="shared" si="1999"/>
        <v>0</v>
      </c>
      <c r="AX814">
        <f t="shared" si="2000"/>
        <v>407</v>
      </c>
    </row>
    <row r="815" spans="1:50">
      <c r="A815">
        <v>769</v>
      </c>
      <c r="B815" t="s">
        <v>1112</v>
      </c>
      <c r="C815" t="s">
        <v>1113</v>
      </c>
      <c r="D815">
        <v>0</v>
      </c>
      <c r="E815">
        <v>1888</v>
      </c>
      <c r="F815">
        <v>1036</v>
      </c>
      <c r="G815">
        <v>769</v>
      </c>
      <c r="H815">
        <v>1</v>
      </c>
      <c r="I815">
        <v>5</v>
      </c>
      <c r="J815">
        <v>0</v>
      </c>
      <c r="K815">
        <v>2</v>
      </c>
      <c r="L815">
        <v>3</v>
      </c>
      <c r="M815">
        <v>37</v>
      </c>
      <c r="N815">
        <v>37</v>
      </c>
      <c r="O815">
        <v>31</v>
      </c>
      <c r="P815">
        <v>24</v>
      </c>
      <c r="Q815">
        <v>10</v>
      </c>
      <c r="R815">
        <v>30</v>
      </c>
      <c r="S815">
        <v>25</v>
      </c>
      <c r="T815">
        <v>10</v>
      </c>
      <c r="U815">
        <v>10</v>
      </c>
      <c r="V815">
        <v>14</v>
      </c>
      <c r="W815">
        <v>2</v>
      </c>
      <c r="X815">
        <v>30</v>
      </c>
      <c r="Y815">
        <v>0</v>
      </c>
      <c r="Z815">
        <v>35</v>
      </c>
      <c r="AA815">
        <v>35</v>
      </c>
      <c r="AB815">
        <v>50</v>
      </c>
      <c r="AC815">
        <v>59</v>
      </c>
      <c r="AD815">
        <v>69</v>
      </c>
      <c r="AE815">
        <v>49</v>
      </c>
      <c r="AF815">
        <v>79</v>
      </c>
      <c r="AG815">
        <v>65</v>
      </c>
      <c r="AH815">
        <v>49</v>
      </c>
      <c r="AI815">
        <v>44</v>
      </c>
      <c r="AJ815">
        <v>784</v>
      </c>
      <c r="AK815">
        <v>191</v>
      </c>
      <c r="AL815">
        <v>771</v>
      </c>
      <c r="AM815">
        <v>-1</v>
      </c>
      <c r="AN815">
        <v>2</v>
      </c>
      <c r="AO815">
        <v>2</v>
      </c>
      <c r="AP815">
        <v>2</v>
      </c>
      <c r="AQ815">
        <v>0</v>
      </c>
      <c r="AR815">
        <f t="shared" si="2025"/>
        <v>6</v>
      </c>
      <c r="AS815">
        <f>IF(AND(IFERROR(VLOOKUP(AJ815,Equip!$A:$N,13,FALSE),0)&gt;=5,IFERROR(VLOOKUP(AJ815,Equip!$A:$N,13,FALSE),0)&lt;=9),INT(VLOOKUP(AJ815,Equip!$A:$N,6,FALSE)*SQRT(AN815)),0)</f>
        <v>0</v>
      </c>
      <c r="AT815">
        <f>IF(AND(IFERROR(VLOOKUP(AK815,Equip!$A:$N,13,FALSE),0)&gt;=5,IFERROR(VLOOKUP(AK815,Equip!$A:$N,13,FALSE),0)&lt;=9),INT(VLOOKUP(AK815,Equip!$A:$N,6,FALSE)*SQRT(AO815)),0)</f>
        <v>0</v>
      </c>
      <c r="AU815">
        <f>IF(AND(IFERROR(VLOOKUP(AL815,Equip!$A:$N,13,FALSE),0)&gt;=5,IFERROR(VLOOKUP(AL815,Equip!$A:$N,13,FALSE),0)&lt;=9),INT(VLOOKUP(AL815,Equip!$A:$N,6,FALSE)*SQRT(AP815)),0)</f>
        <v>0</v>
      </c>
      <c r="AV815">
        <f>IF(AND(IFERROR(VLOOKUP(AM815,Equip!$A:$N,13,FALSE),0)&gt;=5,IFERROR(VLOOKUP(AM815,Equip!$A:$N,13,FALSE),0)&lt;=9),INT(VLOOKUP(AM815,Equip!$A:$N,6,FALSE)*SQRT(AQ815)),0)</f>
        <v>0</v>
      </c>
      <c r="AW815">
        <f t="shared" si="1999"/>
        <v>0</v>
      </c>
      <c r="AX815">
        <f t="shared" si="2000"/>
        <v>422</v>
      </c>
    </row>
    <row r="816" spans="1:50">
      <c r="A816">
        <v>769</v>
      </c>
      <c r="B816" t="s">
        <v>1112</v>
      </c>
      <c r="C816" t="s">
        <v>1113</v>
      </c>
      <c r="D816">
        <v>1</v>
      </c>
      <c r="E816">
        <f>E815</f>
        <v>1888</v>
      </c>
      <c r="F816">
        <f t="shared" ref="F816" si="2164">F815</f>
        <v>1036</v>
      </c>
      <c r="G816">
        <f t="shared" ref="G816" si="2165">G815</f>
        <v>769</v>
      </c>
      <c r="H816">
        <f t="shared" ref="H816" si="2166">H815</f>
        <v>1</v>
      </c>
      <c r="I816">
        <f t="shared" ref="I816" si="2167">I815</f>
        <v>5</v>
      </c>
      <c r="J816">
        <f t="shared" ref="J816" si="2168">J815</f>
        <v>0</v>
      </c>
      <c r="K816">
        <v>2</v>
      </c>
      <c r="L816">
        <v>3</v>
      </c>
      <c r="M816">
        <v>50</v>
      </c>
      <c r="N816">
        <v>50</v>
      </c>
      <c r="O816">
        <v>34</v>
      </c>
      <c r="P816">
        <v>37</v>
      </c>
      <c r="Q816">
        <v>20</v>
      </c>
      <c r="R816">
        <v>36</v>
      </c>
      <c r="S816">
        <v>51</v>
      </c>
      <c r="T816">
        <v>26</v>
      </c>
      <c r="U816">
        <f t="shared" ref="U816" si="2169">U815</f>
        <v>10</v>
      </c>
      <c r="V816">
        <v>20</v>
      </c>
      <c r="W816">
        <f t="shared" ref="W816" si="2170">W815</f>
        <v>2</v>
      </c>
      <c r="X816">
        <v>35</v>
      </c>
      <c r="Y816">
        <f t="shared" ref="Y816" si="2171">Y815</f>
        <v>0</v>
      </c>
      <c r="Z816">
        <v>35</v>
      </c>
      <c r="AA816">
        <v>40</v>
      </c>
      <c r="AB816">
        <v>73</v>
      </c>
      <c r="AC816">
        <v>69</v>
      </c>
      <c r="AD816">
        <v>81</v>
      </c>
      <c r="AE816">
        <v>70</v>
      </c>
      <c r="AF816">
        <v>89</v>
      </c>
      <c r="AG816">
        <v>73</v>
      </c>
      <c r="AH816">
        <v>71</v>
      </c>
      <c r="AI816">
        <v>64</v>
      </c>
      <c r="AJ816">
        <v>784</v>
      </c>
      <c r="AK816">
        <v>801</v>
      </c>
      <c r="AL816">
        <v>832</v>
      </c>
      <c r="AM816">
        <v>0</v>
      </c>
      <c r="AN816">
        <v>2</v>
      </c>
      <c r="AO816">
        <v>2</v>
      </c>
      <c r="AP816">
        <v>2</v>
      </c>
      <c r="AQ816">
        <v>2</v>
      </c>
      <c r="AR816">
        <f t="shared" si="2025"/>
        <v>8</v>
      </c>
      <c r="AS816">
        <f>IF(AND(IFERROR(VLOOKUP(AJ816,Equip!$A:$N,13,FALSE),0)&gt;=5,IFERROR(VLOOKUP(AJ816,Equip!$A:$N,13,FALSE),0)&lt;=9),INT(VLOOKUP(AJ816,Equip!$A:$N,6,FALSE)*SQRT(AN816)),0)</f>
        <v>0</v>
      </c>
      <c r="AT816">
        <f>IF(AND(IFERROR(VLOOKUP(AK816,Equip!$A:$N,13,FALSE),0)&gt;=5,IFERROR(VLOOKUP(AK816,Equip!$A:$N,13,FALSE),0)&lt;=9),INT(VLOOKUP(AK816,Equip!$A:$N,6,FALSE)*SQRT(AO816)),0)</f>
        <v>0</v>
      </c>
      <c r="AU816">
        <f>IF(AND(IFERROR(VLOOKUP(AL816,Equip!$A:$N,13,FALSE),0)&gt;=5,IFERROR(VLOOKUP(AL816,Equip!$A:$N,13,FALSE),0)&lt;=9),INT(VLOOKUP(AL816,Equip!$A:$N,6,FALSE)*SQRT(AP816)),0)</f>
        <v>0</v>
      </c>
      <c r="AV816">
        <f>IF(AND(IFERROR(VLOOKUP(AM816,Equip!$A:$N,13,FALSE),0)&gt;=5,IFERROR(VLOOKUP(AM816,Equip!$A:$N,13,FALSE),0)&lt;=9),INT(VLOOKUP(AM816,Equip!$A:$N,6,FALSE)*SQRT(AQ816)),0)</f>
        <v>0</v>
      </c>
      <c r="AW816">
        <f t="shared" si="1999"/>
        <v>0</v>
      </c>
      <c r="AX816">
        <f t="shared" si="2000"/>
        <v>551</v>
      </c>
    </row>
    <row r="817" spans="1:51">
      <c r="A817">
        <v>770</v>
      </c>
      <c r="B817" t="s">
        <v>1114</v>
      </c>
      <c r="C817" t="s">
        <v>1115</v>
      </c>
      <c r="D817">
        <v>0</v>
      </c>
      <c r="E817">
        <v>1510</v>
      </c>
      <c r="F817">
        <v>790</v>
      </c>
      <c r="G817">
        <v>770</v>
      </c>
      <c r="H817">
        <v>0</v>
      </c>
      <c r="I817">
        <v>4</v>
      </c>
      <c r="J817">
        <v>3</v>
      </c>
      <c r="K817">
        <v>1</v>
      </c>
      <c r="L817">
        <v>1</v>
      </c>
      <c r="M817">
        <v>18</v>
      </c>
      <c r="N817">
        <v>18</v>
      </c>
      <c r="O817">
        <v>12</v>
      </c>
      <c r="P817">
        <v>8</v>
      </c>
      <c r="Q817">
        <v>12</v>
      </c>
      <c r="R817">
        <v>46</v>
      </c>
      <c r="S817">
        <v>21</v>
      </c>
      <c r="T817">
        <v>27</v>
      </c>
      <c r="U817">
        <v>10</v>
      </c>
      <c r="V817">
        <v>5</v>
      </c>
      <c r="W817">
        <v>1</v>
      </c>
      <c r="X817">
        <v>20</v>
      </c>
      <c r="Y817">
        <v>0</v>
      </c>
      <c r="Z817">
        <v>10</v>
      </c>
      <c r="AA817">
        <v>15</v>
      </c>
      <c r="AB817">
        <v>31</v>
      </c>
      <c r="AC817">
        <v>67</v>
      </c>
      <c r="AD817">
        <v>48</v>
      </c>
      <c r="AE817">
        <v>21</v>
      </c>
      <c r="AF817">
        <v>69</v>
      </c>
      <c r="AG817">
        <v>81</v>
      </c>
      <c r="AH817">
        <v>52</v>
      </c>
      <c r="AI817">
        <v>18</v>
      </c>
      <c r="AJ817">
        <v>727</v>
      </c>
      <c r="AK817">
        <v>772</v>
      </c>
      <c r="AL817">
        <v>-1</v>
      </c>
      <c r="AM817">
        <v>-1</v>
      </c>
      <c r="AN817">
        <v>0</v>
      </c>
      <c r="AO817">
        <v>0</v>
      </c>
      <c r="AP817">
        <v>0</v>
      </c>
      <c r="AQ817">
        <v>0</v>
      </c>
      <c r="AR817">
        <f t="shared" si="2025"/>
        <v>0</v>
      </c>
      <c r="AS817">
        <f>IF(AND(IFERROR(VLOOKUP(AJ817,Equip!$A:$N,13,FALSE),0)&gt;=5,IFERROR(VLOOKUP(AJ817,Equip!$A:$N,13,FALSE),0)&lt;=9),INT(VLOOKUP(AJ817,Equip!$A:$N,6,FALSE)*SQRT(AN817)),0)</f>
        <v>0</v>
      </c>
      <c r="AT817">
        <f>IF(AND(IFERROR(VLOOKUP(AK817,Equip!$A:$N,13,FALSE),0)&gt;=5,IFERROR(VLOOKUP(AK817,Equip!$A:$N,13,FALSE),0)&lt;=9),INT(VLOOKUP(AK817,Equip!$A:$N,6,FALSE)*SQRT(AO817)),0)</f>
        <v>0</v>
      </c>
      <c r="AU817">
        <f>IF(AND(IFERROR(VLOOKUP(AL817,Equip!$A:$N,13,FALSE),0)&gt;=5,IFERROR(VLOOKUP(AL817,Equip!$A:$N,13,FALSE),0)&lt;=9),INT(VLOOKUP(AL817,Equip!$A:$N,6,FALSE)*SQRT(AP817)),0)</f>
        <v>0</v>
      </c>
      <c r="AV817">
        <f>IF(AND(IFERROR(VLOOKUP(AM817,Equip!$A:$N,13,FALSE),0)&gt;=5,IFERROR(VLOOKUP(AM817,Equip!$A:$N,13,FALSE),0)&lt;=9),INT(VLOOKUP(AM817,Equip!$A:$N,6,FALSE)*SQRT(AQ817)),0)</f>
        <v>0</v>
      </c>
      <c r="AW817">
        <f t="shared" si="1999"/>
        <v>0</v>
      </c>
      <c r="AX817">
        <f t="shared" si="2000"/>
        <v>336</v>
      </c>
    </row>
    <row r="818" spans="1:51" ht="14.25">
      <c r="A818">
        <v>770</v>
      </c>
      <c r="B818" s="4" t="s">
        <v>1396</v>
      </c>
      <c r="C818" s="4" t="s">
        <v>1396</v>
      </c>
      <c r="D818">
        <v>1</v>
      </c>
      <c r="E818">
        <f t="shared" ref="E818:E819" si="2172">E817</f>
        <v>1510</v>
      </c>
      <c r="F818">
        <f t="shared" ref="F818:F819" si="2173">F817</f>
        <v>790</v>
      </c>
      <c r="G818">
        <f t="shared" ref="G818:G819" si="2174">G817</f>
        <v>770</v>
      </c>
      <c r="H818">
        <v>1</v>
      </c>
      <c r="I818">
        <v>7</v>
      </c>
      <c r="J818">
        <f t="shared" ref="J818:J819" si="2175">J817</f>
        <v>3</v>
      </c>
      <c r="K818">
        <v>1</v>
      </c>
      <c r="L818">
        <v>1</v>
      </c>
      <c r="M818">
        <v>33</v>
      </c>
      <c r="N818">
        <v>33</v>
      </c>
      <c r="O818">
        <v>17</v>
      </c>
      <c r="P818">
        <v>15</v>
      </c>
      <c r="Q818">
        <v>25</v>
      </c>
      <c r="R818">
        <v>65</v>
      </c>
      <c r="S818">
        <v>30</v>
      </c>
      <c r="T818">
        <v>44</v>
      </c>
      <c r="U818">
        <f t="shared" ref="U818:U819" si="2176">U817</f>
        <v>10</v>
      </c>
      <c r="V818">
        <v>25</v>
      </c>
      <c r="W818">
        <f t="shared" ref="W818:W819" si="2177">W817</f>
        <v>1</v>
      </c>
      <c r="X818">
        <v>22</v>
      </c>
      <c r="Y818">
        <f t="shared" ref="Y818:Y819" si="2178">Y817</f>
        <v>0</v>
      </c>
      <c r="Z818">
        <v>15</v>
      </c>
      <c r="AA818">
        <v>20</v>
      </c>
      <c r="AB818">
        <v>41</v>
      </c>
      <c r="AC818">
        <v>67</v>
      </c>
      <c r="AD818">
        <v>58</v>
      </c>
      <c r="AE818">
        <v>38</v>
      </c>
      <c r="AF818">
        <v>79</v>
      </c>
      <c r="AG818">
        <v>87</v>
      </c>
      <c r="AH818">
        <v>62</v>
      </c>
      <c r="AI818">
        <v>43</v>
      </c>
      <c r="AJ818">
        <v>727</v>
      </c>
      <c r="AK818">
        <v>772</v>
      </c>
      <c r="AL818">
        <v>805</v>
      </c>
      <c r="AM818">
        <v>-1</v>
      </c>
      <c r="AN818">
        <v>0</v>
      </c>
      <c r="AO818">
        <v>0</v>
      </c>
      <c r="AP818">
        <v>0</v>
      </c>
      <c r="AQ818">
        <v>0</v>
      </c>
      <c r="AR818">
        <f t="shared" si="2025"/>
        <v>0</v>
      </c>
      <c r="AS818">
        <f>IF(AND(IFERROR(VLOOKUP(AJ818,Equip!$A:$N,13,FALSE),0)&gt;=5,IFERROR(VLOOKUP(AJ818,Equip!$A:$N,13,FALSE),0)&lt;=9),INT(VLOOKUP(AJ818,Equip!$A:$N,6,FALSE)*SQRT(AN818)),0)</f>
        <v>0</v>
      </c>
      <c r="AT818">
        <f>IF(AND(IFERROR(VLOOKUP(AK818,Equip!$A:$N,13,FALSE),0)&gt;=5,IFERROR(VLOOKUP(AK818,Equip!$A:$N,13,FALSE),0)&lt;=9),INT(VLOOKUP(AK818,Equip!$A:$N,6,FALSE)*SQRT(AO818)),0)</f>
        <v>0</v>
      </c>
      <c r="AU818">
        <f>IF(AND(IFERROR(VLOOKUP(AL818,Equip!$A:$N,13,FALSE),0)&gt;=5,IFERROR(VLOOKUP(AL818,Equip!$A:$N,13,FALSE),0)&lt;=9),INT(VLOOKUP(AL818,Equip!$A:$N,6,FALSE)*SQRT(AP818)),0)</f>
        <v>0</v>
      </c>
      <c r="AV818">
        <f>IF(AND(IFERROR(VLOOKUP(AM818,Equip!$A:$N,13,FALSE),0)&gt;=5,IFERROR(VLOOKUP(AM818,Equip!$A:$N,13,FALSE),0)&lt;=9),INT(VLOOKUP(AM818,Equip!$A:$N,6,FALSE)*SQRT(AQ818)),0)</f>
        <v>0</v>
      </c>
      <c r="AW818">
        <f t="shared" si="1999"/>
        <v>0</v>
      </c>
      <c r="AX818">
        <f t="shared" si="2000"/>
        <v>429</v>
      </c>
    </row>
    <row r="819" spans="1:51" ht="14.25">
      <c r="A819">
        <v>770</v>
      </c>
      <c r="B819" s="4" t="s">
        <v>1396</v>
      </c>
      <c r="C819" s="4" t="s">
        <v>1396</v>
      </c>
      <c r="D819">
        <v>2</v>
      </c>
      <c r="E819">
        <f t="shared" si="2172"/>
        <v>1510</v>
      </c>
      <c r="F819">
        <f t="shared" si="2173"/>
        <v>790</v>
      </c>
      <c r="G819">
        <f t="shared" si="2174"/>
        <v>770</v>
      </c>
      <c r="H819">
        <v>1</v>
      </c>
      <c r="I819">
        <v>7</v>
      </c>
      <c r="J819">
        <f t="shared" si="2175"/>
        <v>3</v>
      </c>
      <c r="K819">
        <v>1</v>
      </c>
      <c r="L819">
        <v>1</v>
      </c>
      <c r="M819">
        <v>35</v>
      </c>
      <c r="N819">
        <v>35</v>
      </c>
      <c r="O819">
        <v>40</v>
      </c>
      <c r="P819">
        <v>25</v>
      </c>
      <c r="Q819">
        <v>0</v>
      </c>
      <c r="R819">
        <v>75</v>
      </c>
      <c r="S819">
        <v>40</v>
      </c>
      <c r="T819">
        <v>54</v>
      </c>
      <c r="U819">
        <f t="shared" si="2176"/>
        <v>10</v>
      </c>
      <c r="V819">
        <v>45</v>
      </c>
      <c r="W819">
        <f t="shared" si="2177"/>
        <v>1</v>
      </c>
      <c r="X819">
        <v>25</v>
      </c>
      <c r="Y819">
        <f t="shared" si="2178"/>
        <v>0</v>
      </c>
      <c r="Z819">
        <v>25</v>
      </c>
      <c r="AA819">
        <v>30</v>
      </c>
      <c r="AB819">
        <v>75</v>
      </c>
      <c r="AC819">
        <v>0</v>
      </c>
      <c r="AD819">
        <v>84</v>
      </c>
      <c r="AE819">
        <v>54</v>
      </c>
      <c r="AF819">
        <v>89</v>
      </c>
      <c r="AG819">
        <v>97</v>
      </c>
      <c r="AH819">
        <v>69</v>
      </c>
      <c r="AI819">
        <v>49</v>
      </c>
      <c r="AJ819">
        <v>891</v>
      </c>
      <c r="AK819">
        <v>892</v>
      </c>
      <c r="AL819">
        <v>0</v>
      </c>
      <c r="AM819">
        <v>-1</v>
      </c>
      <c r="AN819">
        <v>0</v>
      </c>
      <c r="AO819">
        <v>0</v>
      </c>
      <c r="AP819">
        <v>0</v>
      </c>
      <c r="AQ819">
        <v>0</v>
      </c>
      <c r="AR819">
        <f t="shared" si="2025"/>
        <v>0</v>
      </c>
      <c r="AS819">
        <f>IF(AND(IFERROR(VLOOKUP(AJ819,Equip!$A:$N,13,FALSE),0)&gt;=5,IFERROR(VLOOKUP(AJ819,Equip!$A:$N,13,FALSE),0)&lt;=9),INT(VLOOKUP(AJ819,Equip!$A:$N,6,FALSE)*SQRT(AN819)),0)</f>
        <v>0</v>
      </c>
      <c r="AT819">
        <f>IF(AND(IFERROR(VLOOKUP(AK819,Equip!$A:$N,13,FALSE),0)&gt;=5,IFERROR(VLOOKUP(AK819,Equip!$A:$N,13,FALSE),0)&lt;=9),INT(VLOOKUP(AK819,Equip!$A:$N,6,FALSE)*SQRT(AO819)),0)</f>
        <v>0</v>
      </c>
      <c r="AU819">
        <f>IF(AND(IFERROR(VLOOKUP(AL819,Equip!$A:$N,13,FALSE),0)&gt;=5,IFERROR(VLOOKUP(AL819,Equip!$A:$N,13,FALSE),0)&lt;=9),INT(VLOOKUP(AL819,Equip!$A:$N,6,FALSE)*SQRT(AP819)),0)</f>
        <v>0</v>
      </c>
      <c r="AV819">
        <f>IF(AND(IFERROR(VLOOKUP(AM819,Equip!$A:$N,13,FALSE),0)&gt;=5,IFERROR(VLOOKUP(AM819,Equip!$A:$N,13,FALSE),0)&lt;=9),INT(VLOOKUP(AM819,Equip!$A:$N,6,FALSE)*SQRT(AQ819)),0)</f>
        <v>0</v>
      </c>
      <c r="AW819">
        <f t="shared" si="1999"/>
        <v>0</v>
      </c>
      <c r="AX819">
        <f t="shared" si="2000"/>
        <v>463</v>
      </c>
      <c r="AY819" s="4" t="s">
        <v>1397</v>
      </c>
    </row>
    <row r="820" spans="1:51" ht="14.25">
      <c r="A820">
        <v>771</v>
      </c>
      <c r="B820" t="s">
        <v>1116</v>
      </c>
      <c r="C820" t="s">
        <v>1117</v>
      </c>
      <c r="D820">
        <v>0</v>
      </c>
      <c r="E820">
        <v>1803</v>
      </c>
      <c r="F820">
        <v>999</v>
      </c>
      <c r="G820">
        <v>771</v>
      </c>
      <c r="H820">
        <v>1</v>
      </c>
      <c r="I820">
        <v>5</v>
      </c>
      <c r="J820">
        <v>9</v>
      </c>
      <c r="K820">
        <v>9</v>
      </c>
      <c r="L820">
        <v>4</v>
      </c>
      <c r="M820">
        <v>35</v>
      </c>
      <c r="N820">
        <v>35</v>
      </c>
      <c r="O820">
        <v>0</v>
      </c>
      <c r="P820">
        <v>7</v>
      </c>
      <c r="Q820">
        <v>0</v>
      </c>
      <c r="R820">
        <v>15</v>
      </c>
      <c r="S820">
        <v>23</v>
      </c>
      <c r="T820">
        <v>15</v>
      </c>
      <c r="U820">
        <v>5</v>
      </c>
      <c r="V820">
        <v>36</v>
      </c>
      <c r="W820">
        <v>1</v>
      </c>
      <c r="X820">
        <v>25</v>
      </c>
      <c r="Y820">
        <v>0</v>
      </c>
      <c r="Z820">
        <v>30</v>
      </c>
      <c r="AA820">
        <v>25</v>
      </c>
      <c r="AB820">
        <v>15</v>
      </c>
      <c r="AC820">
        <v>0</v>
      </c>
      <c r="AD820">
        <v>53</v>
      </c>
      <c r="AE820">
        <v>27</v>
      </c>
      <c r="AF820">
        <v>69</v>
      </c>
      <c r="AG820">
        <v>35</v>
      </c>
      <c r="AH820">
        <v>59</v>
      </c>
      <c r="AI820">
        <v>61</v>
      </c>
      <c r="AJ820">
        <v>792</v>
      </c>
      <c r="AK820">
        <v>754</v>
      </c>
      <c r="AL820">
        <v>0</v>
      </c>
      <c r="AM820">
        <v>-1</v>
      </c>
      <c r="AN820">
        <v>15</v>
      </c>
      <c r="AO820">
        <v>10</v>
      </c>
      <c r="AP820">
        <v>3</v>
      </c>
      <c r="AQ820">
        <v>0</v>
      </c>
      <c r="AR820">
        <f t="shared" si="2025"/>
        <v>28</v>
      </c>
      <c r="AS820">
        <f>IF(AND(IFERROR(VLOOKUP(AJ820,Equip!$A:$N,13,FALSE),0)&gt;=5,IFERROR(VLOOKUP(AJ820,Equip!$A:$N,13,FALSE),0)&lt;=9),INT(VLOOKUP(AJ820,Equip!$A:$N,6,FALSE)*SQRT(AN820)),0)</f>
        <v>0</v>
      </c>
      <c r="AT820">
        <f>IF(AND(IFERROR(VLOOKUP(AK820,Equip!$A:$N,13,FALSE),0)&gt;=5,IFERROR(VLOOKUP(AK820,Equip!$A:$N,13,FALSE),0)&lt;=9),INT(VLOOKUP(AK820,Equip!$A:$N,6,FALSE)*SQRT(AO820)),0)</f>
        <v>0</v>
      </c>
      <c r="AU820">
        <f>IF(AND(IFERROR(VLOOKUP(AL820,Equip!$A:$N,13,FALSE),0)&gt;=5,IFERROR(VLOOKUP(AL820,Equip!$A:$N,13,FALSE),0)&lt;=9),INT(VLOOKUP(AL820,Equip!$A:$N,6,FALSE)*SQRT(AP820)),0)</f>
        <v>0</v>
      </c>
      <c r="AV820">
        <f>IF(AND(IFERROR(VLOOKUP(AM820,Equip!$A:$N,13,FALSE),0)&gt;=5,IFERROR(VLOOKUP(AM820,Equip!$A:$N,13,FALSE),0)&lt;=9),INT(VLOOKUP(AM820,Equip!$A:$N,6,FALSE)*SQRT(AQ820)),0)</f>
        <v>0</v>
      </c>
      <c r="AW820">
        <f t="shared" si="1999"/>
        <v>0</v>
      </c>
      <c r="AX820">
        <f t="shared" si="2000"/>
        <v>285</v>
      </c>
      <c r="AY820" s="4" t="s">
        <v>1390</v>
      </c>
    </row>
    <row r="821" spans="1:51" ht="14.25">
      <c r="A821">
        <v>771</v>
      </c>
      <c r="B821" t="s">
        <v>1116</v>
      </c>
      <c r="C821" t="s">
        <v>1117</v>
      </c>
      <c r="D821">
        <v>1</v>
      </c>
      <c r="E821">
        <f>E820</f>
        <v>1803</v>
      </c>
      <c r="F821">
        <f t="shared" ref="F821" si="2179">F820</f>
        <v>999</v>
      </c>
      <c r="G821">
        <f t="shared" ref="G821" si="2180">G820</f>
        <v>771</v>
      </c>
      <c r="H821">
        <f t="shared" ref="H821" si="2181">H820</f>
        <v>1</v>
      </c>
      <c r="I821">
        <f t="shared" ref="I821" si="2182">I820</f>
        <v>5</v>
      </c>
      <c r="J821">
        <f t="shared" ref="J821" si="2183">J820</f>
        <v>9</v>
      </c>
      <c r="K821">
        <v>9</v>
      </c>
      <c r="L821">
        <v>4</v>
      </c>
      <c r="M821">
        <v>45</v>
      </c>
      <c r="N821">
        <v>45</v>
      </c>
      <c r="O821">
        <v>0</v>
      </c>
      <c r="P821">
        <v>17</v>
      </c>
      <c r="Q821">
        <v>0</v>
      </c>
      <c r="R821">
        <v>20</v>
      </c>
      <c r="S821">
        <v>30</v>
      </c>
      <c r="T821">
        <v>25</v>
      </c>
      <c r="U821">
        <f t="shared" ref="U821" si="2184">U820</f>
        <v>5</v>
      </c>
      <c r="V821">
        <v>40</v>
      </c>
      <c r="W821">
        <f t="shared" ref="W821" si="2185">W820</f>
        <v>1</v>
      </c>
      <c r="X821">
        <v>30</v>
      </c>
      <c r="Y821">
        <f t="shared" ref="Y821" si="2186">Y820</f>
        <v>0</v>
      </c>
      <c r="Z821">
        <v>30</v>
      </c>
      <c r="AA821">
        <v>30</v>
      </c>
      <c r="AB821">
        <v>25</v>
      </c>
      <c r="AC821">
        <v>0</v>
      </c>
      <c r="AD821">
        <v>60</v>
      </c>
      <c r="AE821">
        <v>37</v>
      </c>
      <c r="AF821">
        <v>79</v>
      </c>
      <c r="AG821">
        <v>44</v>
      </c>
      <c r="AH821">
        <v>79</v>
      </c>
      <c r="AI821">
        <v>65</v>
      </c>
      <c r="AJ821">
        <v>762</v>
      </c>
      <c r="AK821">
        <v>852</v>
      </c>
      <c r="AL821">
        <v>0</v>
      </c>
      <c r="AM821">
        <v>0</v>
      </c>
      <c r="AN821">
        <v>16</v>
      </c>
      <c r="AO821">
        <v>10</v>
      </c>
      <c r="AP821">
        <v>3</v>
      </c>
      <c r="AQ821">
        <v>3</v>
      </c>
      <c r="AR821">
        <f t="shared" si="2025"/>
        <v>32</v>
      </c>
      <c r="AS821">
        <f>IF(AND(IFERROR(VLOOKUP(AJ821,Equip!$A:$N,13,FALSE),0)&gt;=5,IFERROR(VLOOKUP(AJ821,Equip!$A:$N,13,FALSE),0)&lt;=9),INT(VLOOKUP(AJ821,Equip!$A:$N,6,FALSE)*SQRT(AN821)),0)</f>
        <v>0</v>
      </c>
      <c r="AT821">
        <f>IF(AND(IFERROR(VLOOKUP(AK821,Equip!$A:$N,13,FALSE),0)&gt;=5,IFERROR(VLOOKUP(AK821,Equip!$A:$N,13,FALSE),0)&lt;=9),INT(VLOOKUP(AK821,Equip!$A:$N,6,FALSE)*SQRT(AO821)),0)</f>
        <v>0</v>
      </c>
      <c r="AU821">
        <f>IF(AND(IFERROR(VLOOKUP(AL821,Equip!$A:$N,13,FALSE),0)&gt;=5,IFERROR(VLOOKUP(AL821,Equip!$A:$N,13,FALSE),0)&lt;=9),INT(VLOOKUP(AL821,Equip!$A:$N,6,FALSE)*SQRT(AP821)),0)</f>
        <v>0</v>
      </c>
      <c r="AV821">
        <f>IF(AND(IFERROR(VLOOKUP(AM821,Equip!$A:$N,13,FALSE),0)&gt;=5,IFERROR(VLOOKUP(AM821,Equip!$A:$N,13,FALSE),0)&lt;=9),INT(VLOOKUP(AM821,Equip!$A:$N,6,FALSE)*SQRT(AQ821)),0)</f>
        <v>0</v>
      </c>
      <c r="AW821">
        <f t="shared" si="1999"/>
        <v>0</v>
      </c>
      <c r="AX821">
        <f t="shared" si="2000"/>
        <v>355</v>
      </c>
      <c r="AY821" s="4" t="s">
        <v>1390</v>
      </c>
    </row>
    <row r="822" spans="1:51" ht="14.25">
      <c r="A822">
        <v>772</v>
      </c>
      <c r="B822" t="s">
        <v>1118</v>
      </c>
      <c r="C822" t="s">
        <v>1119</v>
      </c>
      <c r="D822">
        <v>0</v>
      </c>
      <c r="E822">
        <v>1814</v>
      </c>
      <c r="F822">
        <v>1002</v>
      </c>
      <c r="G822">
        <v>772</v>
      </c>
      <c r="H822">
        <v>1</v>
      </c>
      <c r="I822">
        <v>6</v>
      </c>
      <c r="J822">
        <v>3</v>
      </c>
      <c r="K822">
        <v>9</v>
      </c>
      <c r="L822">
        <v>4</v>
      </c>
      <c r="M822">
        <v>35</v>
      </c>
      <c r="N822">
        <v>35</v>
      </c>
      <c r="O822">
        <v>0</v>
      </c>
      <c r="P822">
        <v>7</v>
      </c>
      <c r="Q822">
        <v>0</v>
      </c>
      <c r="R822">
        <v>15</v>
      </c>
      <c r="S822">
        <v>23</v>
      </c>
      <c r="T822">
        <v>15</v>
      </c>
      <c r="U822">
        <v>5</v>
      </c>
      <c r="V822">
        <v>36</v>
      </c>
      <c r="W822">
        <v>1</v>
      </c>
      <c r="X822">
        <v>15</v>
      </c>
      <c r="Y822">
        <v>0</v>
      </c>
      <c r="Z822">
        <v>30</v>
      </c>
      <c r="AA822">
        <v>25</v>
      </c>
      <c r="AB822">
        <v>15</v>
      </c>
      <c r="AC822">
        <v>0</v>
      </c>
      <c r="AD822">
        <v>53</v>
      </c>
      <c r="AE822">
        <v>27</v>
      </c>
      <c r="AF822">
        <v>59</v>
      </c>
      <c r="AG822">
        <v>35</v>
      </c>
      <c r="AH822">
        <v>59</v>
      </c>
      <c r="AI822">
        <v>61</v>
      </c>
      <c r="AJ822">
        <v>766</v>
      </c>
      <c r="AK822">
        <v>197</v>
      </c>
      <c r="AL822">
        <v>0</v>
      </c>
      <c r="AM822">
        <v>-1</v>
      </c>
      <c r="AN822">
        <v>15</v>
      </c>
      <c r="AO822">
        <v>10</v>
      </c>
      <c r="AP822">
        <v>3</v>
      </c>
      <c r="AQ822">
        <v>0</v>
      </c>
      <c r="AR822">
        <f t="shared" si="2025"/>
        <v>28</v>
      </c>
      <c r="AS822">
        <f>IF(AND(IFERROR(VLOOKUP(AJ822,Equip!$A:$N,13,FALSE),0)&gt;=5,IFERROR(VLOOKUP(AJ822,Equip!$A:$N,13,FALSE),0)&lt;=9),INT(VLOOKUP(AJ822,Equip!$A:$N,6,FALSE)*SQRT(AN822)),0)</f>
        <v>0</v>
      </c>
      <c r="AT822">
        <f>IF(AND(IFERROR(VLOOKUP(AK822,Equip!$A:$N,13,FALSE),0)&gt;=5,IFERROR(VLOOKUP(AK822,Equip!$A:$N,13,FALSE),0)&lt;=9),INT(VLOOKUP(AK822,Equip!$A:$N,6,FALSE)*SQRT(AO822)),0)</f>
        <v>0</v>
      </c>
      <c r="AU822">
        <f>IF(AND(IFERROR(VLOOKUP(AL822,Equip!$A:$N,13,FALSE),0)&gt;=5,IFERROR(VLOOKUP(AL822,Equip!$A:$N,13,FALSE),0)&lt;=9),INT(VLOOKUP(AL822,Equip!$A:$N,6,FALSE)*SQRT(AP822)),0)</f>
        <v>0</v>
      </c>
      <c r="AV822">
        <f>IF(AND(IFERROR(VLOOKUP(AM822,Equip!$A:$N,13,FALSE),0)&gt;=5,IFERROR(VLOOKUP(AM822,Equip!$A:$N,13,FALSE),0)&lt;=9),INT(VLOOKUP(AM822,Equip!$A:$N,6,FALSE)*SQRT(AQ822)),0)</f>
        <v>0</v>
      </c>
      <c r="AW822">
        <f t="shared" si="1999"/>
        <v>0</v>
      </c>
      <c r="AX822">
        <f t="shared" si="2000"/>
        <v>285</v>
      </c>
      <c r="AY822" s="4" t="s">
        <v>1390</v>
      </c>
    </row>
    <row r="823" spans="1:51" ht="14.25">
      <c r="A823">
        <v>772</v>
      </c>
      <c r="B823" t="s">
        <v>1118</v>
      </c>
      <c r="C823" t="s">
        <v>1119</v>
      </c>
      <c r="D823">
        <v>1</v>
      </c>
      <c r="E823">
        <f>E822</f>
        <v>1814</v>
      </c>
      <c r="F823">
        <f t="shared" ref="F823" si="2187">F822</f>
        <v>1002</v>
      </c>
      <c r="G823">
        <f t="shared" ref="G823" si="2188">G822</f>
        <v>772</v>
      </c>
      <c r="H823">
        <f t="shared" ref="H823" si="2189">H822</f>
        <v>1</v>
      </c>
      <c r="I823">
        <f t="shared" ref="I823" si="2190">I822</f>
        <v>6</v>
      </c>
      <c r="J823">
        <f t="shared" ref="J823" si="2191">J822</f>
        <v>3</v>
      </c>
      <c r="K823">
        <v>9</v>
      </c>
      <c r="L823">
        <v>4</v>
      </c>
      <c r="M823">
        <v>45</v>
      </c>
      <c r="N823">
        <v>45</v>
      </c>
      <c r="O823">
        <v>0</v>
      </c>
      <c r="P823">
        <v>17</v>
      </c>
      <c r="Q823">
        <v>0</v>
      </c>
      <c r="R823">
        <v>20</v>
      </c>
      <c r="S823">
        <v>33</v>
      </c>
      <c r="T823">
        <v>22</v>
      </c>
      <c r="U823">
        <f t="shared" ref="U823" si="2192">U822</f>
        <v>5</v>
      </c>
      <c r="V823">
        <v>40</v>
      </c>
      <c r="W823">
        <f t="shared" ref="W823" si="2193">W822</f>
        <v>1</v>
      </c>
      <c r="X823">
        <v>26</v>
      </c>
      <c r="Y823">
        <f t="shared" ref="Y823" si="2194">Y822</f>
        <v>0</v>
      </c>
      <c r="Z823">
        <v>30</v>
      </c>
      <c r="AA823">
        <v>30</v>
      </c>
      <c r="AB823">
        <v>25</v>
      </c>
      <c r="AC823">
        <v>0</v>
      </c>
      <c r="AD823">
        <v>63</v>
      </c>
      <c r="AE823">
        <v>37</v>
      </c>
      <c r="AF823">
        <v>72</v>
      </c>
      <c r="AG823">
        <v>44</v>
      </c>
      <c r="AH823">
        <v>76</v>
      </c>
      <c r="AI823">
        <v>65</v>
      </c>
      <c r="AJ823">
        <v>852</v>
      </c>
      <c r="AK823">
        <v>870</v>
      </c>
      <c r="AL823">
        <v>0</v>
      </c>
      <c r="AM823">
        <v>0</v>
      </c>
      <c r="AN823">
        <v>16</v>
      </c>
      <c r="AO823">
        <v>10</v>
      </c>
      <c r="AP823">
        <v>3</v>
      </c>
      <c r="AQ823">
        <v>3</v>
      </c>
      <c r="AR823">
        <f t="shared" si="2025"/>
        <v>32</v>
      </c>
      <c r="AS823">
        <f>IF(AND(IFERROR(VLOOKUP(AJ823,Equip!$A:$N,13,FALSE),0)&gt;=5,IFERROR(VLOOKUP(AJ823,Equip!$A:$N,13,FALSE),0)&lt;=9),INT(VLOOKUP(AJ823,Equip!$A:$N,6,FALSE)*SQRT(AN823)),0)</f>
        <v>0</v>
      </c>
      <c r="AT823">
        <f>IF(AND(IFERROR(VLOOKUP(AK823,Equip!$A:$N,13,FALSE),0)&gt;=5,IFERROR(VLOOKUP(AK823,Equip!$A:$N,13,FALSE),0)&lt;=9),INT(VLOOKUP(AK823,Equip!$A:$N,6,FALSE)*SQRT(AO823)),0)</f>
        <v>0</v>
      </c>
      <c r="AU823">
        <f>IF(AND(IFERROR(VLOOKUP(AL823,Equip!$A:$N,13,FALSE),0)&gt;=5,IFERROR(VLOOKUP(AL823,Equip!$A:$N,13,FALSE),0)&lt;=9),INT(VLOOKUP(AL823,Equip!$A:$N,6,FALSE)*SQRT(AP823)),0)</f>
        <v>0</v>
      </c>
      <c r="AV823">
        <f>IF(AND(IFERROR(VLOOKUP(AM823,Equip!$A:$N,13,FALSE),0)&gt;=5,IFERROR(VLOOKUP(AM823,Equip!$A:$N,13,FALSE),0)&lt;=9),INT(VLOOKUP(AM823,Equip!$A:$N,6,FALSE)*SQRT(AQ823)),0)</f>
        <v>0</v>
      </c>
      <c r="AW823">
        <f t="shared" si="1999"/>
        <v>0</v>
      </c>
      <c r="AX823">
        <f t="shared" si="2000"/>
        <v>355</v>
      </c>
      <c r="AY823" s="4" t="s">
        <v>1390</v>
      </c>
    </row>
    <row r="824" spans="1:51">
      <c r="A824">
        <v>774</v>
      </c>
      <c r="B824" t="s">
        <v>1120</v>
      </c>
      <c r="C824" t="s">
        <v>1121</v>
      </c>
      <c r="D824">
        <v>0</v>
      </c>
      <c r="E824">
        <v>1939</v>
      </c>
      <c r="F824">
        <v>1031</v>
      </c>
      <c r="G824">
        <v>774</v>
      </c>
      <c r="H824">
        <v>0</v>
      </c>
      <c r="I824">
        <v>2</v>
      </c>
      <c r="J824">
        <v>4</v>
      </c>
      <c r="K824">
        <v>3</v>
      </c>
      <c r="L824">
        <v>5</v>
      </c>
      <c r="M824">
        <v>51</v>
      </c>
      <c r="N824">
        <v>51</v>
      </c>
      <c r="O824">
        <v>43</v>
      </c>
      <c r="P824">
        <v>36</v>
      </c>
      <c r="Q824">
        <v>12</v>
      </c>
      <c r="R824">
        <v>25</v>
      </c>
      <c r="S824">
        <v>12</v>
      </c>
      <c r="T824">
        <v>0</v>
      </c>
      <c r="U824">
        <v>10</v>
      </c>
      <c r="V824">
        <v>13</v>
      </c>
      <c r="W824">
        <v>3</v>
      </c>
      <c r="X824">
        <v>13</v>
      </c>
      <c r="Y824">
        <v>0</v>
      </c>
      <c r="Z824">
        <v>35</v>
      </c>
      <c r="AA824">
        <v>80</v>
      </c>
      <c r="AB824">
        <v>68</v>
      </c>
      <c r="AC824">
        <v>42</v>
      </c>
      <c r="AD824">
        <v>42</v>
      </c>
      <c r="AE824">
        <v>51</v>
      </c>
      <c r="AF824">
        <v>49</v>
      </c>
      <c r="AG824">
        <v>55</v>
      </c>
      <c r="AH824">
        <v>0</v>
      </c>
      <c r="AI824">
        <v>38</v>
      </c>
      <c r="AJ824">
        <v>734</v>
      </c>
      <c r="AK824">
        <v>705</v>
      </c>
      <c r="AL824">
        <v>0</v>
      </c>
      <c r="AM824">
        <v>-1</v>
      </c>
      <c r="AN824">
        <v>2</v>
      </c>
      <c r="AO824">
        <v>2</v>
      </c>
      <c r="AP824">
        <v>2</v>
      </c>
      <c r="AQ824">
        <v>0</v>
      </c>
      <c r="AR824">
        <f t="shared" si="2025"/>
        <v>6</v>
      </c>
      <c r="AS824">
        <f>IF(AND(IFERROR(VLOOKUP(AJ824,Equip!$A:$N,13,FALSE),0)&gt;=5,IFERROR(VLOOKUP(AJ824,Equip!$A:$N,13,FALSE),0)&lt;=9),INT(VLOOKUP(AJ824,Equip!$A:$N,6,FALSE)*SQRT(AN824)),0)</f>
        <v>0</v>
      </c>
      <c r="AT824">
        <f>IF(AND(IFERROR(VLOOKUP(AK824,Equip!$A:$N,13,FALSE),0)&gt;=5,IFERROR(VLOOKUP(AK824,Equip!$A:$N,13,FALSE),0)&lt;=9),INT(VLOOKUP(AK824,Equip!$A:$N,6,FALSE)*SQRT(AO824)),0)</f>
        <v>0</v>
      </c>
      <c r="AU824">
        <f>IF(AND(IFERROR(VLOOKUP(AL824,Equip!$A:$N,13,FALSE),0)&gt;=5,IFERROR(VLOOKUP(AL824,Equip!$A:$N,13,FALSE),0)&lt;=9),INT(VLOOKUP(AL824,Equip!$A:$N,6,FALSE)*SQRT(AP824)),0)</f>
        <v>0</v>
      </c>
      <c r="AV824">
        <f>IF(AND(IFERROR(VLOOKUP(AM824,Equip!$A:$N,13,FALSE),0)&gt;=5,IFERROR(VLOOKUP(AM824,Equip!$A:$N,13,FALSE),0)&lt;=9),INT(VLOOKUP(AM824,Equip!$A:$N,6,FALSE)*SQRT(AQ824)),0)</f>
        <v>0</v>
      </c>
      <c r="AW824">
        <f t="shared" si="1999"/>
        <v>0</v>
      </c>
      <c r="AX824">
        <f t="shared" si="2000"/>
        <v>347</v>
      </c>
    </row>
    <row r="825" spans="1:51" ht="14.25">
      <c r="A825">
        <v>774</v>
      </c>
      <c r="B825" t="s">
        <v>1398</v>
      </c>
      <c r="C825" s="4" t="s">
        <v>1399</v>
      </c>
      <c r="D825">
        <v>1</v>
      </c>
      <c r="E825">
        <f t="shared" ref="E825:E826" si="2195">E824</f>
        <v>1939</v>
      </c>
      <c r="F825">
        <f t="shared" ref="F825:F826" si="2196">F824</f>
        <v>1031</v>
      </c>
      <c r="G825">
        <f t="shared" ref="G825:G826" si="2197">G824</f>
        <v>774</v>
      </c>
      <c r="H825">
        <f t="shared" ref="H825:H826" si="2198">H824</f>
        <v>0</v>
      </c>
      <c r="I825">
        <f t="shared" ref="I825:I826" si="2199">I824</f>
        <v>2</v>
      </c>
      <c r="J825">
        <f t="shared" ref="J825:J826" si="2200">J824</f>
        <v>4</v>
      </c>
      <c r="K825">
        <v>3</v>
      </c>
      <c r="L825">
        <v>5</v>
      </c>
      <c r="M825">
        <v>62</v>
      </c>
      <c r="N825">
        <v>62</v>
      </c>
      <c r="O825">
        <v>52</v>
      </c>
      <c r="P825">
        <v>48</v>
      </c>
      <c r="Q825">
        <v>24</v>
      </c>
      <c r="R825">
        <v>31</v>
      </c>
      <c r="S825">
        <v>27</v>
      </c>
      <c r="T825">
        <v>0</v>
      </c>
      <c r="U825">
        <f t="shared" ref="U825:U826" si="2201">U824</f>
        <v>10</v>
      </c>
      <c r="V825">
        <v>19</v>
      </c>
      <c r="W825">
        <f t="shared" ref="W825:W826" si="2202">W824</f>
        <v>3</v>
      </c>
      <c r="X825">
        <v>15</v>
      </c>
      <c r="Y825">
        <f t="shared" ref="Y825:Y826" si="2203">Y824</f>
        <v>0</v>
      </c>
      <c r="Z825">
        <v>40</v>
      </c>
      <c r="AA825">
        <v>90</v>
      </c>
      <c r="AB825">
        <v>85</v>
      </c>
      <c r="AC825">
        <v>51</v>
      </c>
      <c r="AD825">
        <v>57</v>
      </c>
      <c r="AE825">
        <v>78</v>
      </c>
      <c r="AF825">
        <v>60</v>
      </c>
      <c r="AG825">
        <v>63</v>
      </c>
      <c r="AH825">
        <v>0</v>
      </c>
      <c r="AI825">
        <v>43</v>
      </c>
      <c r="AJ825">
        <v>734</v>
      </c>
      <c r="AK825">
        <v>772</v>
      </c>
      <c r="AL825">
        <v>0</v>
      </c>
      <c r="AM825">
        <v>0</v>
      </c>
      <c r="AN825">
        <v>2</v>
      </c>
      <c r="AO825">
        <v>2</v>
      </c>
      <c r="AP825">
        <v>2</v>
      </c>
      <c r="AQ825">
        <v>0</v>
      </c>
      <c r="AR825">
        <f t="shared" si="2025"/>
        <v>6</v>
      </c>
      <c r="AS825">
        <f>IF(AND(IFERROR(VLOOKUP(AJ825,Equip!$A:$N,13,FALSE),0)&gt;=5,IFERROR(VLOOKUP(AJ825,Equip!$A:$N,13,FALSE),0)&lt;=9),INT(VLOOKUP(AJ825,Equip!$A:$N,6,FALSE)*SQRT(AN825)),0)</f>
        <v>0</v>
      </c>
      <c r="AT825">
        <f>IF(AND(IFERROR(VLOOKUP(AK825,Equip!$A:$N,13,FALSE),0)&gt;=5,IFERROR(VLOOKUP(AK825,Equip!$A:$N,13,FALSE),0)&lt;=9),INT(VLOOKUP(AK825,Equip!$A:$N,6,FALSE)*SQRT(AO825)),0)</f>
        <v>0</v>
      </c>
      <c r="AU825">
        <f>IF(AND(IFERROR(VLOOKUP(AL825,Equip!$A:$N,13,FALSE),0)&gt;=5,IFERROR(VLOOKUP(AL825,Equip!$A:$N,13,FALSE),0)&lt;=9),INT(VLOOKUP(AL825,Equip!$A:$N,6,FALSE)*SQRT(AP825)),0)</f>
        <v>0</v>
      </c>
      <c r="AV825">
        <f>IF(AND(IFERROR(VLOOKUP(AM825,Equip!$A:$N,13,FALSE),0)&gt;=5,IFERROR(VLOOKUP(AM825,Equip!$A:$N,13,FALSE),0)&lt;=9),INT(VLOOKUP(AM825,Equip!$A:$N,6,FALSE)*SQRT(AQ825)),0)</f>
        <v>0</v>
      </c>
      <c r="AW825">
        <f t="shared" si="1999"/>
        <v>0</v>
      </c>
      <c r="AX825">
        <f t="shared" si="2000"/>
        <v>439</v>
      </c>
    </row>
    <row r="826" spans="1:51" ht="14.25">
      <c r="A826">
        <v>774</v>
      </c>
      <c r="B826" t="s">
        <v>1398</v>
      </c>
      <c r="C826" s="4" t="s">
        <v>1399</v>
      </c>
      <c r="D826">
        <v>2</v>
      </c>
      <c r="E826">
        <f t="shared" si="2195"/>
        <v>1939</v>
      </c>
      <c r="F826">
        <f t="shared" si="2196"/>
        <v>1031</v>
      </c>
      <c r="G826">
        <f t="shared" si="2197"/>
        <v>774</v>
      </c>
      <c r="H826">
        <f t="shared" si="2198"/>
        <v>0</v>
      </c>
      <c r="I826">
        <f t="shared" si="2199"/>
        <v>2</v>
      </c>
      <c r="J826">
        <f t="shared" si="2200"/>
        <v>4</v>
      </c>
      <c r="K826">
        <v>3</v>
      </c>
      <c r="L826">
        <v>5</v>
      </c>
      <c r="M826">
        <v>71</v>
      </c>
      <c r="N826">
        <v>71</v>
      </c>
      <c r="O826">
        <v>56</v>
      </c>
      <c r="P826">
        <v>54</v>
      </c>
      <c r="Q826">
        <v>31</v>
      </c>
      <c r="R826">
        <v>40</v>
      </c>
      <c r="S826">
        <v>37</v>
      </c>
      <c r="T826">
        <v>0</v>
      </c>
      <c r="U826">
        <f t="shared" si="2201"/>
        <v>10</v>
      </c>
      <c r="V826">
        <v>29</v>
      </c>
      <c r="W826">
        <f t="shared" si="2202"/>
        <v>3</v>
      </c>
      <c r="X826">
        <v>18</v>
      </c>
      <c r="Y826">
        <f t="shared" si="2203"/>
        <v>0</v>
      </c>
      <c r="Z826">
        <v>45</v>
      </c>
      <c r="AA826">
        <v>100</v>
      </c>
      <c r="AB826">
        <v>91</v>
      </c>
      <c r="AC826">
        <v>58</v>
      </c>
      <c r="AD826">
        <v>71</v>
      </c>
      <c r="AE826">
        <v>84</v>
      </c>
      <c r="AF826">
        <v>70</v>
      </c>
      <c r="AG826">
        <v>72</v>
      </c>
      <c r="AH826">
        <v>0</v>
      </c>
      <c r="AI826">
        <v>53</v>
      </c>
      <c r="AJ826">
        <v>734</v>
      </c>
      <c r="AK826">
        <v>774</v>
      </c>
      <c r="AL826">
        <v>751</v>
      </c>
      <c r="AM826">
        <v>0</v>
      </c>
      <c r="AN826">
        <v>2</v>
      </c>
      <c r="AO826">
        <v>2</v>
      </c>
      <c r="AP826">
        <v>2</v>
      </c>
      <c r="AQ826">
        <v>0</v>
      </c>
      <c r="AR826">
        <f t="shared" si="2025"/>
        <v>6</v>
      </c>
      <c r="AS826">
        <f>IF(AND(IFERROR(VLOOKUP(AJ826,Equip!$A:$N,13,FALSE),0)&gt;=5,IFERROR(VLOOKUP(AJ826,Equip!$A:$N,13,FALSE),0)&lt;=9),INT(VLOOKUP(AJ826,Equip!$A:$N,6,FALSE)*SQRT(AN826)),0)</f>
        <v>0</v>
      </c>
      <c r="AT826">
        <f>IF(AND(IFERROR(VLOOKUP(AK826,Equip!$A:$N,13,FALSE),0)&gt;=5,IFERROR(VLOOKUP(AK826,Equip!$A:$N,13,FALSE),0)&lt;=9),INT(VLOOKUP(AK826,Equip!$A:$N,6,FALSE)*SQRT(AO826)),0)</f>
        <v>0</v>
      </c>
      <c r="AU826">
        <f>IF(AND(IFERROR(VLOOKUP(AL826,Equip!$A:$N,13,FALSE),0)&gt;=5,IFERROR(VLOOKUP(AL826,Equip!$A:$N,13,FALSE),0)&lt;=9),INT(VLOOKUP(AL826,Equip!$A:$N,6,FALSE)*SQRT(AP826)),0)</f>
        <v>0</v>
      </c>
      <c r="AV826">
        <f>IF(AND(IFERROR(VLOOKUP(AM826,Equip!$A:$N,13,FALSE),0)&gt;=5,IFERROR(VLOOKUP(AM826,Equip!$A:$N,13,FALSE),0)&lt;=9),INT(VLOOKUP(AM826,Equip!$A:$N,6,FALSE)*SQRT(AQ826)),0)</f>
        <v>0</v>
      </c>
      <c r="AW826">
        <f t="shared" si="1999"/>
        <v>0</v>
      </c>
      <c r="AX826">
        <f t="shared" si="2000"/>
        <v>500</v>
      </c>
    </row>
    <row r="827" spans="1:51">
      <c r="A827">
        <v>777</v>
      </c>
      <c r="B827" t="s">
        <v>1266</v>
      </c>
      <c r="C827" t="s">
        <v>1122</v>
      </c>
      <c r="D827">
        <v>0</v>
      </c>
      <c r="E827">
        <v>1250</v>
      </c>
      <c r="F827">
        <v>730</v>
      </c>
      <c r="G827">
        <v>777</v>
      </c>
      <c r="H827">
        <v>0</v>
      </c>
      <c r="I827">
        <v>3</v>
      </c>
      <c r="J827">
        <v>8</v>
      </c>
      <c r="K827">
        <v>1</v>
      </c>
      <c r="L827">
        <v>1</v>
      </c>
      <c r="M827">
        <v>17</v>
      </c>
      <c r="N827">
        <v>17</v>
      </c>
      <c r="O827">
        <v>10</v>
      </c>
      <c r="P827">
        <v>7</v>
      </c>
      <c r="Q827">
        <v>22</v>
      </c>
      <c r="R827">
        <v>48</v>
      </c>
      <c r="S827">
        <v>9</v>
      </c>
      <c r="T827">
        <v>30</v>
      </c>
      <c r="U827">
        <v>10</v>
      </c>
      <c r="V827">
        <v>7</v>
      </c>
      <c r="W827">
        <v>1</v>
      </c>
      <c r="X827">
        <v>5</v>
      </c>
      <c r="Y827">
        <v>0</v>
      </c>
      <c r="Z827">
        <v>15</v>
      </c>
      <c r="AA827">
        <v>20</v>
      </c>
      <c r="AB827">
        <v>28</v>
      </c>
      <c r="AC827">
        <v>58</v>
      </c>
      <c r="AD827">
        <v>39</v>
      </c>
      <c r="AE827">
        <v>18</v>
      </c>
      <c r="AF827">
        <v>39</v>
      </c>
      <c r="AG827">
        <v>82</v>
      </c>
      <c r="AH827">
        <v>60</v>
      </c>
      <c r="AI827">
        <v>20</v>
      </c>
      <c r="AJ827">
        <v>807</v>
      </c>
      <c r="AK827">
        <v>0</v>
      </c>
      <c r="AL827">
        <v>-1</v>
      </c>
      <c r="AM827">
        <v>-1</v>
      </c>
      <c r="AN827">
        <v>0</v>
      </c>
      <c r="AO827">
        <v>0</v>
      </c>
      <c r="AP827">
        <v>0</v>
      </c>
      <c r="AQ827">
        <v>0</v>
      </c>
      <c r="AR827">
        <f t="shared" si="2025"/>
        <v>0</v>
      </c>
      <c r="AS827">
        <f>IF(AND(IFERROR(VLOOKUP(AJ827,Equip!$A:$N,13,FALSE),0)&gt;=5,IFERROR(VLOOKUP(AJ827,Equip!$A:$N,13,FALSE),0)&lt;=9),INT(VLOOKUP(AJ827,Equip!$A:$N,6,FALSE)*SQRT(AN827)),0)</f>
        <v>0</v>
      </c>
      <c r="AT827">
        <f>IF(AND(IFERROR(VLOOKUP(AK827,Equip!$A:$N,13,FALSE),0)&gt;=5,IFERROR(VLOOKUP(AK827,Equip!$A:$N,13,FALSE),0)&lt;=9),INT(VLOOKUP(AK827,Equip!$A:$N,6,FALSE)*SQRT(AO827)),0)</f>
        <v>0</v>
      </c>
      <c r="AU827">
        <f>IF(AND(IFERROR(VLOOKUP(AL827,Equip!$A:$N,13,FALSE),0)&gt;=5,IFERROR(VLOOKUP(AL827,Equip!$A:$N,13,FALSE),0)&lt;=9),INT(VLOOKUP(AL827,Equip!$A:$N,6,FALSE)*SQRT(AP827)),0)</f>
        <v>0</v>
      </c>
      <c r="AV827">
        <f>IF(AND(IFERROR(VLOOKUP(AM827,Equip!$A:$N,13,FALSE),0)&gt;=5,IFERROR(VLOOKUP(AM827,Equip!$A:$N,13,FALSE),0)&lt;=9),INT(VLOOKUP(AM827,Equip!$A:$N,6,FALSE)*SQRT(AQ827)),0)</f>
        <v>0</v>
      </c>
      <c r="AW827">
        <f t="shared" si="1999"/>
        <v>0</v>
      </c>
      <c r="AX827">
        <f t="shared" si="2000"/>
        <v>322</v>
      </c>
    </row>
    <row r="828" spans="1:51">
      <c r="A828">
        <v>777</v>
      </c>
      <c r="B828" t="s">
        <v>1266</v>
      </c>
      <c r="C828" t="s">
        <v>1122</v>
      </c>
      <c r="D828">
        <v>1</v>
      </c>
      <c r="E828">
        <f>E827</f>
        <v>1250</v>
      </c>
      <c r="F828">
        <f t="shared" ref="F828" si="2204">F827</f>
        <v>730</v>
      </c>
      <c r="G828">
        <f t="shared" ref="G828" si="2205">G827</f>
        <v>777</v>
      </c>
      <c r="H828">
        <f t="shared" ref="H828" si="2206">H827</f>
        <v>0</v>
      </c>
      <c r="I828">
        <f t="shared" ref="I828" si="2207">I827</f>
        <v>3</v>
      </c>
      <c r="J828">
        <f t="shared" ref="J828" si="2208">J827</f>
        <v>8</v>
      </c>
      <c r="K828">
        <v>1</v>
      </c>
      <c r="L828">
        <v>1</v>
      </c>
      <c r="M828">
        <v>31</v>
      </c>
      <c r="N828">
        <v>31</v>
      </c>
      <c r="O828">
        <v>10</v>
      </c>
      <c r="P828">
        <v>7</v>
      </c>
      <c r="Q828">
        <v>22</v>
      </c>
      <c r="R828">
        <v>50</v>
      </c>
      <c r="S828">
        <v>11</v>
      </c>
      <c r="T828">
        <v>40</v>
      </c>
      <c r="U828">
        <f t="shared" ref="U828" si="2209">U827</f>
        <v>10</v>
      </c>
      <c r="V828">
        <v>10</v>
      </c>
      <c r="W828">
        <f t="shared" ref="W828" si="2210">W827</f>
        <v>1</v>
      </c>
      <c r="X828">
        <v>10</v>
      </c>
      <c r="Y828">
        <f t="shared" ref="Y828" si="2211">Y827</f>
        <v>0</v>
      </c>
      <c r="Z828">
        <v>15</v>
      </c>
      <c r="AA828">
        <v>20</v>
      </c>
      <c r="AB828">
        <v>49</v>
      </c>
      <c r="AC828">
        <v>72</v>
      </c>
      <c r="AD828">
        <v>59</v>
      </c>
      <c r="AE828">
        <v>50</v>
      </c>
      <c r="AF828">
        <v>49</v>
      </c>
      <c r="AG828">
        <v>92</v>
      </c>
      <c r="AH828">
        <v>80</v>
      </c>
      <c r="AI828">
        <v>46</v>
      </c>
      <c r="AJ828">
        <v>807</v>
      </c>
      <c r="AK828">
        <v>771</v>
      </c>
      <c r="AL828">
        <v>0</v>
      </c>
      <c r="AM828">
        <v>-1</v>
      </c>
      <c r="AN828">
        <v>0</v>
      </c>
      <c r="AO828">
        <v>0</v>
      </c>
      <c r="AP828">
        <v>0</v>
      </c>
      <c r="AQ828">
        <v>0</v>
      </c>
      <c r="AR828">
        <f t="shared" si="2025"/>
        <v>0</v>
      </c>
      <c r="AS828">
        <f>IF(AND(IFERROR(VLOOKUP(AJ828,Equip!$A:$N,13,FALSE),0)&gt;=5,IFERROR(VLOOKUP(AJ828,Equip!$A:$N,13,FALSE),0)&lt;=9),INT(VLOOKUP(AJ828,Equip!$A:$N,6,FALSE)*SQRT(AN828)),0)</f>
        <v>0</v>
      </c>
      <c r="AT828">
        <f>IF(AND(IFERROR(VLOOKUP(AK828,Equip!$A:$N,13,FALSE),0)&gt;=5,IFERROR(VLOOKUP(AK828,Equip!$A:$N,13,FALSE),0)&lt;=9),INT(VLOOKUP(AK828,Equip!$A:$N,6,FALSE)*SQRT(AO828)),0)</f>
        <v>0</v>
      </c>
      <c r="AU828">
        <f>IF(AND(IFERROR(VLOOKUP(AL828,Equip!$A:$N,13,FALSE),0)&gt;=5,IFERROR(VLOOKUP(AL828,Equip!$A:$N,13,FALSE),0)&lt;=9),INT(VLOOKUP(AL828,Equip!$A:$N,6,FALSE)*SQRT(AP828)),0)</f>
        <v>0</v>
      </c>
      <c r="AV828">
        <f>IF(AND(IFERROR(VLOOKUP(AM828,Equip!$A:$N,13,FALSE),0)&gt;=5,IFERROR(VLOOKUP(AM828,Equip!$A:$N,13,FALSE),0)&lt;=9),INT(VLOOKUP(AM828,Equip!$A:$N,6,FALSE)*SQRT(AQ828)),0)</f>
        <v>0</v>
      </c>
      <c r="AW828">
        <f t="shared" si="1999"/>
        <v>0</v>
      </c>
      <c r="AX828">
        <f t="shared" si="2000"/>
        <v>479</v>
      </c>
    </row>
    <row r="829" spans="1:51">
      <c r="A829">
        <v>778</v>
      </c>
      <c r="B829" t="s">
        <v>1267</v>
      </c>
      <c r="C829" t="s">
        <v>1123</v>
      </c>
      <c r="D829">
        <v>0</v>
      </c>
      <c r="E829">
        <v>1250</v>
      </c>
      <c r="F829">
        <v>730</v>
      </c>
      <c r="G829">
        <v>778</v>
      </c>
      <c r="H829">
        <v>0</v>
      </c>
      <c r="I829">
        <v>3</v>
      </c>
      <c r="J829">
        <v>12</v>
      </c>
      <c r="K829">
        <v>1</v>
      </c>
      <c r="L829">
        <v>1</v>
      </c>
      <c r="M829">
        <v>17</v>
      </c>
      <c r="N829">
        <v>17</v>
      </c>
      <c r="O829">
        <v>10</v>
      </c>
      <c r="P829">
        <v>7</v>
      </c>
      <c r="Q829">
        <v>22</v>
      </c>
      <c r="R829">
        <v>48</v>
      </c>
      <c r="S829">
        <v>9</v>
      </c>
      <c r="T829">
        <v>30</v>
      </c>
      <c r="U829">
        <v>10</v>
      </c>
      <c r="V829">
        <v>7</v>
      </c>
      <c r="W829">
        <v>1</v>
      </c>
      <c r="X829">
        <v>5</v>
      </c>
      <c r="Y829">
        <v>0</v>
      </c>
      <c r="Z829">
        <v>15</v>
      </c>
      <c r="AA829">
        <v>20</v>
      </c>
      <c r="AB829">
        <v>28</v>
      </c>
      <c r="AC829">
        <v>58</v>
      </c>
      <c r="AD829">
        <v>39</v>
      </c>
      <c r="AE829">
        <v>18</v>
      </c>
      <c r="AF829">
        <v>39</v>
      </c>
      <c r="AG829">
        <v>82</v>
      </c>
      <c r="AH829">
        <v>60</v>
      </c>
      <c r="AI829">
        <v>20</v>
      </c>
      <c r="AJ829">
        <v>807</v>
      </c>
      <c r="AK829">
        <v>0</v>
      </c>
      <c r="AL829">
        <v>-1</v>
      </c>
      <c r="AM829">
        <v>-1</v>
      </c>
      <c r="AN829">
        <v>0</v>
      </c>
      <c r="AO829">
        <v>0</v>
      </c>
      <c r="AP829">
        <v>0</v>
      </c>
      <c r="AQ829">
        <v>0</v>
      </c>
      <c r="AR829">
        <f t="shared" si="2025"/>
        <v>0</v>
      </c>
      <c r="AS829">
        <f>IF(AND(IFERROR(VLOOKUP(AJ829,Equip!$A:$N,13,FALSE),0)&gt;=5,IFERROR(VLOOKUP(AJ829,Equip!$A:$N,13,FALSE),0)&lt;=9),INT(VLOOKUP(AJ829,Equip!$A:$N,6,FALSE)*SQRT(AN829)),0)</f>
        <v>0</v>
      </c>
      <c r="AT829">
        <f>IF(AND(IFERROR(VLOOKUP(AK829,Equip!$A:$N,13,FALSE),0)&gt;=5,IFERROR(VLOOKUP(AK829,Equip!$A:$N,13,FALSE),0)&lt;=9),INT(VLOOKUP(AK829,Equip!$A:$N,6,FALSE)*SQRT(AO829)),0)</f>
        <v>0</v>
      </c>
      <c r="AU829">
        <f>IF(AND(IFERROR(VLOOKUP(AL829,Equip!$A:$N,13,FALSE),0)&gt;=5,IFERROR(VLOOKUP(AL829,Equip!$A:$N,13,FALSE),0)&lt;=9),INT(VLOOKUP(AL829,Equip!$A:$N,6,FALSE)*SQRT(AP829)),0)</f>
        <v>0</v>
      </c>
      <c r="AV829">
        <f>IF(AND(IFERROR(VLOOKUP(AM829,Equip!$A:$N,13,FALSE),0)&gt;=5,IFERROR(VLOOKUP(AM829,Equip!$A:$N,13,FALSE),0)&lt;=9),INT(VLOOKUP(AM829,Equip!$A:$N,6,FALSE)*SQRT(AQ829)),0)</f>
        <v>0</v>
      </c>
      <c r="AW829">
        <f t="shared" si="1999"/>
        <v>0</v>
      </c>
      <c r="AX829">
        <f t="shared" si="2000"/>
        <v>322</v>
      </c>
    </row>
    <row r="830" spans="1:51">
      <c r="A830">
        <v>778</v>
      </c>
      <c r="B830" t="s">
        <v>1267</v>
      </c>
      <c r="C830" t="s">
        <v>1123</v>
      </c>
      <c r="D830">
        <v>1</v>
      </c>
      <c r="E830">
        <f>E829</f>
        <v>1250</v>
      </c>
      <c r="F830">
        <f t="shared" ref="F830" si="2212">F829</f>
        <v>730</v>
      </c>
      <c r="G830">
        <f t="shared" ref="G830" si="2213">G829</f>
        <v>778</v>
      </c>
      <c r="H830">
        <f t="shared" ref="H830" si="2214">H829</f>
        <v>0</v>
      </c>
      <c r="I830">
        <f t="shared" ref="I830" si="2215">I829</f>
        <v>3</v>
      </c>
      <c r="J830">
        <f t="shared" ref="J830" si="2216">J829</f>
        <v>12</v>
      </c>
      <c r="K830">
        <v>1</v>
      </c>
      <c r="L830">
        <v>1</v>
      </c>
      <c r="M830">
        <v>31</v>
      </c>
      <c r="N830">
        <v>31</v>
      </c>
      <c r="O830">
        <v>10</v>
      </c>
      <c r="P830">
        <v>7</v>
      </c>
      <c r="Q830">
        <v>22</v>
      </c>
      <c r="R830">
        <v>50</v>
      </c>
      <c r="S830">
        <v>13</v>
      </c>
      <c r="T830">
        <v>39</v>
      </c>
      <c r="U830">
        <f t="shared" ref="U830" si="2217">U829</f>
        <v>10</v>
      </c>
      <c r="V830">
        <v>10</v>
      </c>
      <c r="W830">
        <f t="shared" ref="W830" si="2218">W829</f>
        <v>1</v>
      </c>
      <c r="X830">
        <v>10</v>
      </c>
      <c r="Y830">
        <f t="shared" ref="Y830" si="2219">Y829</f>
        <v>0</v>
      </c>
      <c r="Z830">
        <v>15</v>
      </c>
      <c r="AA830">
        <v>20</v>
      </c>
      <c r="AB830">
        <v>49</v>
      </c>
      <c r="AC830">
        <v>72</v>
      </c>
      <c r="AD830">
        <v>63</v>
      </c>
      <c r="AE830">
        <v>49</v>
      </c>
      <c r="AF830">
        <v>49</v>
      </c>
      <c r="AG830">
        <v>92</v>
      </c>
      <c r="AH830">
        <v>79</v>
      </c>
      <c r="AI830">
        <v>46</v>
      </c>
      <c r="AJ830">
        <v>807</v>
      </c>
      <c r="AK830">
        <v>771</v>
      </c>
      <c r="AL830">
        <v>0</v>
      </c>
      <c r="AM830">
        <v>-1</v>
      </c>
      <c r="AN830">
        <v>0</v>
      </c>
      <c r="AO830">
        <v>0</v>
      </c>
      <c r="AP830">
        <v>0</v>
      </c>
      <c r="AQ830">
        <v>0</v>
      </c>
      <c r="AR830">
        <f t="shared" si="2025"/>
        <v>0</v>
      </c>
      <c r="AS830">
        <f>IF(AND(IFERROR(VLOOKUP(AJ830,Equip!$A:$N,13,FALSE),0)&gt;=5,IFERROR(VLOOKUP(AJ830,Equip!$A:$N,13,FALSE),0)&lt;=9),INT(VLOOKUP(AJ830,Equip!$A:$N,6,FALSE)*SQRT(AN830)),0)</f>
        <v>0</v>
      </c>
      <c r="AT830">
        <f>IF(AND(IFERROR(VLOOKUP(AK830,Equip!$A:$N,13,FALSE),0)&gt;=5,IFERROR(VLOOKUP(AK830,Equip!$A:$N,13,FALSE),0)&lt;=9),INT(VLOOKUP(AK830,Equip!$A:$N,6,FALSE)*SQRT(AO830)),0)</f>
        <v>0</v>
      </c>
      <c r="AU830">
        <f>IF(AND(IFERROR(VLOOKUP(AL830,Equip!$A:$N,13,FALSE),0)&gt;=5,IFERROR(VLOOKUP(AL830,Equip!$A:$N,13,FALSE),0)&lt;=9),INT(VLOOKUP(AL830,Equip!$A:$N,6,FALSE)*SQRT(AP830)),0)</f>
        <v>0</v>
      </c>
      <c r="AV830">
        <f>IF(AND(IFERROR(VLOOKUP(AM830,Equip!$A:$N,13,FALSE),0)&gt;=5,IFERROR(VLOOKUP(AM830,Equip!$A:$N,13,FALSE),0)&lt;=9),INT(VLOOKUP(AM830,Equip!$A:$N,6,FALSE)*SQRT(AQ830)),0)</f>
        <v>0</v>
      </c>
      <c r="AW830">
        <f t="shared" si="1999"/>
        <v>0</v>
      </c>
      <c r="AX830">
        <f t="shared" si="2000"/>
        <v>481</v>
      </c>
    </row>
    <row r="831" spans="1:51">
      <c r="A831">
        <v>779</v>
      </c>
      <c r="B831" t="s">
        <v>1124</v>
      </c>
      <c r="C831" t="s">
        <v>1125</v>
      </c>
      <c r="D831">
        <v>0</v>
      </c>
      <c r="E831">
        <v>1243</v>
      </c>
      <c r="F831">
        <v>733</v>
      </c>
      <c r="G831">
        <v>779</v>
      </c>
      <c r="H831">
        <v>1</v>
      </c>
      <c r="I831">
        <v>5</v>
      </c>
      <c r="J831">
        <v>7</v>
      </c>
      <c r="K831">
        <v>1</v>
      </c>
      <c r="L831">
        <v>1</v>
      </c>
      <c r="M831">
        <v>18</v>
      </c>
      <c r="N831">
        <v>18</v>
      </c>
      <c r="O831">
        <v>10</v>
      </c>
      <c r="P831">
        <v>8</v>
      </c>
      <c r="Q831">
        <v>23</v>
      </c>
      <c r="R831">
        <v>36</v>
      </c>
      <c r="S831">
        <v>33</v>
      </c>
      <c r="T831">
        <v>34</v>
      </c>
      <c r="U831">
        <v>10</v>
      </c>
      <c r="V831">
        <v>6</v>
      </c>
      <c r="W831">
        <v>1</v>
      </c>
      <c r="X831">
        <v>15</v>
      </c>
      <c r="Y831">
        <v>0</v>
      </c>
      <c r="Z831">
        <v>15</v>
      </c>
      <c r="AA831">
        <v>25</v>
      </c>
      <c r="AB831">
        <v>30</v>
      </c>
      <c r="AC831">
        <v>73</v>
      </c>
      <c r="AD831">
        <v>63</v>
      </c>
      <c r="AE831">
        <v>23</v>
      </c>
      <c r="AF831">
        <v>59</v>
      </c>
      <c r="AG831">
        <v>78</v>
      </c>
      <c r="AH831">
        <v>64</v>
      </c>
      <c r="AI831">
        <v>16</v>
      </c>
      <c r="AJ831">
        <v>850</v>
      </c>
      <c r="AK831">
        <v>772</v>
      </c>
      <c r="AL831">
        <v>-1</v>
      </c>
      <c r="AM831">
        <v>-1</v>
      </c>
      <c r="AN831">
        <v>0</v>
      </c>
      <c r="AO831">
        <v>0</v>
      </c>
      <c r="AP831">
        <v>0</v>
      </c>
      <c r="AQ831">
        <v>0</v>
      </c>
      <c r="AR831">
        <f t="shared" si="2025"/>
        <v>0</v>
      </c>
      <c r="AS831">
        <f>IF(AND(IFERROR(VLOOKUP(AJ831,Equip!$A:$N,13,FALSE),0)&gt;=5,IFERROR(VLOOKUP(AJ831,Equip!$A:$N,13,FALSE),0)&lt;=9),INT(VLOOKUP(AJ831,Equip!$A:$N,6,FALSE)*SQRT(AN831)),0)</f>
        <v>0</v>
      </c>
      <c r="AT831">
        <f>IF(AND(IFERROR(VLOOKUP(AK831,Equip!$A:$N,13,FALSE),0)&gt;=5,IFERROR(VLOOKUP(AK831,Equip!$A:$N,13,FALSE),0)&lt;=9),INT(VLOOKUP(AK831,Equip!$A:$N,6,FALSE)*SQRT(AO831)),0)</f>
        <v>0</v>
      </c>
      <c r="AU831">
        <f>IF(AND(IFERROR(VLOOKUP(AL831,Equip!$A:$N,13,FALSE),0)&gt;=5,IFERROR(VLOOKUP(AL831,Equip!$A:$N,13,FALSE),0)&lt;=9),INT(VLOOKUP(AL831,Equip!$A:$N,6,FALSE)*SQRT(AP831)),0)</f>
        <v>0</v>
      </c>
      <c r="AV831">
        <f>IF(AND(IFERROR(VLOOKUP(AM831,Equip!$A:$N,13,FALSE),0)&gt;=5,IFERROR(VLOOKUP(AM831,Equip!$A:$N,13,FALSE),0)&lt;=9),INT(VLOOKUP(AM831,Equip!$A:$N,6,FALSE)*SQRT(AQ831)),0)</f>
        <v>0</v>
      </c>
      <c r="AW831">
        <f t="shared" si="1999"/>
        <v>0</v>
      </c>
      <c r="AX831">
        <f t="shared" si="2000"/>
        <v>365</v>
      </c>
    </row>
    <row r="832" spans="1:51">
      <c r="A832">
        <v>779</v>
      </c>
      <c r="B832" t="s">
        <v>1124</v>
      </c>
      <c r="C832" t="s">
        <v>1125</v>
      </c>
      <c r="D832">
        <v>1</v>
      </c>
      <c r="E832">
        <f>E831</f>
        <v>1243</v>
      </c>
      <c r="F832">
        <f t="shared" ref="F832" si="2220">F831</f>
        <v>733</v>
      </c>
      <c r="G832">
        <f t="shared" ref="G832" si="2221">G831</f>
        <v>779</v>
      </c>
      <c r="H832">
        <f t="shared" ref="H832" si="2222">H831</f>
        <v>1</v>
      </c>
      <c r="I832">
        <f t="shared" ref="I832" si="2223">I831</f>
        <v>5</v>
      </c>
      <c r="J832">
        <f t="shared" ref="J832" si="2224">J831</f>
        <v>7</v>
      </c>
      <c r="K832">
        <v>1</v>
      </c>
      <c r="L832">
        <v>1</v>
      </c>
      <c r="M832">
        <v>33</v>
      </c>
      <c r="N832">
        <v>33</v>
      </c>
      <c r="O832">
        <v>16</v>
      </c>
      <c r="P832">
        <v>20</v>
      </c>
      <c r="Q832">
        <v>29</v>
      </c>
      <c r="R832">
        <v>46</v>
      </c>
      <c r="S832">
        <v>38</v>
      </c>
      <c r="T832">
        <v>39</v>
      </c>
      <c r="U832">
        <f t="shared" ref="U832" si="2225">U831</f>
        <v>10</v>
      </c>
      <c r="V832">
        <v>8</v>
      </c>
      <c r="W832">
        <f t="shared" ref="W832" si="2226">W831</f>
        <v>1</v>
      </c>
      <c r="X832">
        <v>17</v>
      </c>
      <c r="Y832">
        <f t="shared" ref="Y832" si="2227">Y831</f>
        <v>0</v>
      </c>
      <c r="Z832">
        <v>15</v>
      </c>
      <c r="AA832">
        <v>25</v>
      </c>
      <c r="AB832">
        <v>48</v>
      </c>
      <c r="AC832">
        <v>84</v>
      </c>
      <c r="AD832">
        <v>68</v>
      </c>
      <c r="AE832">
        <v>50</v>
      </c>
      <c r="AF832">
        <v>69</v>
      </c>
      <c r="AG832">
        <v>88</v>
      </c>
      <c r="AH832">
        <v>79</v>
      </c>
      <c r="AI832">
        <v>37</v>
      </c>
      <c r="AJ832">
        <v>850</v>
      </c>
      <c r="AK832">
        <v>772</v>
      </c>
      <c r="AL832">
        <v>780</v>
      </c>
      <c r="AM832">
        <v>-1</v>
      </c>
      <c r="AN832">
        <v>0</v>
      </c>
      <c r="AO832">
        <v>0</v>
      </c>
      <c r="AP832">
        <v>0</v>
      </c>
      <c r="AQ832">
        <v>0</v>
      </c>
      <c r="AR832">
        <f t="shared" si="2025"/>
        <v>0</v>
      </c>
      <c r="AS832">
        <f>IF(AND(IFERROR(VLOOKUP(AJ832,Equip!$A:$N,13,FALSE),0)&gt;=5,IFERROR(VLOOKUP(AJ832,Equip!$A:$N,13,FALSE),0)&lt;=9),INT(VLOOKUP(AJ832,Equip!$A:$N,6,FALSE)*SQRT(AN832)),0)</f>
        <v>0</v>
      </c>
      <c r="AT832">
        <f>IF(AND(IFERROR(VLOOKUP(AK832,Equip!$A:$N,13,FALSE),0)&gt;=5,IFERROR(VLOOKUP(AK832,Equip!$A:$N,13,FALSE),0)&lt;=9),INT(VLOOKUP(AK832,Equip!$A:$N,6,FALSE)*SQRT(AO832)),0)</f>
        <v>0</v>
      </c>
      <c r="AU832">
        <f>IF(AND(IFERROR(VLOOKUP(AL832,Equip!$A:$N,13,FALSE),0)&gt;=5,IFERROR(VLOOKUP(AL832,Equip!$A:$N,13,FALSE),0)&lt;=9),INT(VLOOKUP(AL832,Equip!$A:$N,6,FALSE)*SQRT(AP832)),0)</f>
        <v>0</v>
      </c>
      <c r="AV832">
        <f>IF(AND(IFERROR(VLOOKUP(AM832,Equip!$A:$N,13,FALSE),0)&gt;=5,IFERROR(VLOOKUP(AM832,Equip!$A:$N,13,FALSE),0)&lt;=9),INT(VLOOKUP(AM832,Equip!$A:$N,6,FALSE)*SQRT(AQ832)),0)</f>
        <v>0</v>
      </c>
      <c r="AW832">
        <f t="shared" si="1999"/>
        <v>0</v>
      </c>
      <c r="AX832">
        <f t="shared" si="2000"/>
        <v>487</v>
      </c>
    </row>
    <row r="833" spans="1:50">
      <c r="A833">
        <v>780</v>
      </c>
      <c r="B833" t="s">
        <v>1126</v>
      </c>
      <c r="C833" t="s">
        <v>1127</v>
      </c>
      <c r="D833">
        <v>0</v>
      </c>
      <c r="E833">
        <v>1337</v>
      </c>
      <c r="F833">
        <v>763</v>
      </c>
      <c r="G833">
        <v>780</v>
      </c>
      <c r="H833">
        <v>0</v>
      </c>
      <c r="I833">
        <v>6</v>
      </c>
      <c r="J833">
        <v>3</v>
      </c>
      <c r="K833">
        <v>1</v>
      </c>
      <c r="L833">
        <v>1</v>
      </c>
      <c r="M833">
        <v>18</v>
      </c>
      <c r="N833">
        <v>18</v>
      </c>
      <c r="O833">
        <v>8</v>
      </c>
      <c r="P833">
        <v>8</v>
      </c>
      <c r="Q833">
        <v>20</v>
      </c>
      <c r="R833">
        <v>38</v>
      </c>
      <c r="S833">
        <v>24</v>
      </c>
      <c r="T833">
        <v>25</v>
      </c>
      <c r="U833">
        <v>10</v>
      </c>
      <c r="V833">
        <v>6</v>
      </c>
      <c r="W833">
        <v>1</v>
      </c>
      <c r="X833">
        <v>20</v>
      </c>
      <c r="Y833">
        <v>0</v>
      </c>
      <c r="Z833">
        <v>15</v>
      </c>
      <c r="AA833">
        <v>25</v>
      </c>
      <c r="AB833">
        <v>28</v>
      </c>
      <c r="AC833">
        <v>70</v>
      </c>
      <c r="AD833">
        <v>54</v>
      </c>
      <c r="AE833">
        <v>23</v>
      </c>
      <c r="AF833">
        <v>64</v>
      </c>
      <c r="AG833">
        <v>78</v>
      </c>
      <c r="AH833">
        <v>55</v>
      </c>
      <c r="AI833">
        <v>16</v>
      </c>
      <c r="AJ833">
        <v>725</v>
      </c>
      <c r="AK833">
        <v>773</v>
      </c>
      <c r="AL833">
        <v>-1</v>
      </c>
      <c r="AM833">
        <v>-1</v>
      </c>
      <c r="AN833">
        <v>0</v>
      </c>
      <c r="AO833">
        <v>0</v>
      </c>
      <c r="AP833">
        <v>0</v>
      </c>
      <c r="AQ833">
        <v>0</v>
      </c>
      <c r="AR833">
        <f t="shared" si="2025"/>
        <v>0</v>
      </c>
      <c r="AS833">
        <f>IF(AND(IFERROR(VLOOKUP(AJ833,Equip!$A:$N,13,FALSE),0)&gt;=5,IFERROR(VLOOKUP(AJ833,Equip!$A:$N,13,FALSE),0)&lt;=9),INT(VLOOKUP(AJ833,Equip!$A:$N,6,FALSE)*SQRT(AN833)),0)</f>
        <v>0</v>
      </c>
      <c r="AT833">
        <f>IF(AND(IFERROR(VLOOKUP(AK833,Equip!$A:$N,13,FALSE),0)&gt;=5,IFERROR(VLOOKUP(AK833,Equip!$A:$N,13,FALSE),0)&lt;=9),INT(VLOOKUP(AK833,Equip!$A:$N,6,FALSE)*SQRT(AO833)),0)</f>
        <v>0</v>
      </c>
      <c r="AU833">
        <f>IF(AND(IFERROR(VLOOKUP(AL833,Equip!$A:$N,13,FALSE),0)&gt;=5,IFERROR(VLOOKUP(AL833,Equip!$A:$N,13,FALSE),0)&lt;=9),INT(VLOOKUP(AL833,Equip!$A:$N,6,FALSE)*SQRT(AP833)),0)</f>
        <v>0</v>
      </c>
      <c r="AV833">
        <f>IF(AND(IFERROR(VLOOKUP(AM833,Equip!$A:$N,13,FALSE),0)&gt;=5,IFERROR(VLOOKUP(AM833,Equip!$A:$N,13,FALSE),0)&lt;=9),INT(VLOOKUP(AM833,Equip!$A:$N,6,FALSE)*SQRT(AQ833)),0)</f>
        <v>0</v>
      </c>
      <c r="AW833">
        <f t="shared" si="1999"/>
        <v>0</v>
      </c>
      <c r="AX833">
        <f t="shared" si="2000"/>
        <v>342</v>
      </c>
    </row>
    <row r="834" spans="1:50">
      <c r="A834">
        <v>780</v>
      </c>
      <c r="B834" t="s">
        <v>1126</v>
      </c>
      <c r="C834" t="s">
        <v>1127</v>
      </c>
      <c r="D834">
        <v>1</v>
      </c>
      <c r="E834">
        <f>E833</f>
        <v>1337</v>
      </c>
      <c r="F834">
        <f t="shared" ref="F834" si="2228">F833</f>
        <v>763</v>
      </c>
      <c r="G834">
        <f t="shared" ref="G834" si="2229">G833</f>
        <v>780</v>
      </c>
      <c r="H834">
        <f t="shared" ref="H834" si="2230">H833</f>
        <v>0</v>
      </c>
      <c r="I834">
        <f t="shared" ref="I834" si="2231">I833</f>
        <v>6</v>
      </c>
      <c r="J834">
        <f t="shared" ref="J834" si="2232">J833</f>
        <v>3</v>
      </c>
      <c r="K834">
        <v>1</v>
      </c>
      <c r="L834">
        <v>1</v>
      </c>
      <c r="M834">
        <v>34</v>
      </c>
      <c r="N834">
        <v>34</v>
      </c>
      <c r="O834">
        <v>8</v>
      </c>
      <c r="P834">
        <v>8</v>
      </c>
      <c r="Q834">
        <v>20</v>
      </c>
      <c r="R834">
        <v>48</v>
      </c>
      <c r="S834">
        <v>25</v>
      </c>
      <c r="T834">
        <v>31</v>
      </c>
      <c r="U834">
        <f t="shared" ref="U834" si="2233">U833</f>
        <v>10</v>
      </c>
      <c r="V834">
        <v>8</v>
      </c>
      <c r="W834">
        <f t="shared" ref="W834" si="2234">W833</f>
        <v>1</v>
      </c>
      <c r="X834">
        <v>24</v>
      </c>
      <c r="Y834">
        <f t="shared" ref="Y834" si="2235">Y833</f>
        <v>0</v>
      </c>
      <c r="Z834">
        <v>15</v>
      </c>
      <c r="AA834">
        <v>25</v>
      </c>
      <c r="AB834">
        <v>47</v>
      </c>
      <c r="AC834">
        <v>75</v>
      </c>
      <c r="AD834">
        <v>62</v>
      </c>
      <c r="AE834">
        <v>51</v>
      </c>
      <c r="AF834">
        <v>75</v>
      </c>
      <c r="AG834">
        <v>90</v>
      </c>
      <c r="AH834">
        <v>63</v>
      </c>
      <c r="AI834">
        <v>39</v>
      </c>
      <c r="AJ834">
        <v>725</v>
      </c>
      <c r="AK834">
        <v>773</v>
      </c>
      <c r="AL834">
        <v>701</v>
      </c>
      <c r="AM834">
        <v>-1</v>
      </c>
      <c r="AN834">
        <v>0</v>
      </c>
      <c r="AO834">
        <v>0</v>
      </c>
      <c r="AP834">
        <v>0</v>
      </c>
      <c r="AQ834">
        <v>0</v>
      </c>
      <c r="AR834">
        <f t="shared" si="2025"/>
        <v>0</v>
      </c>
      <c r="AS834">
        <f>IF(AND(IFERROR(VLOOKUP(AJ834,Equip!$A:$N,13,FALSE),0)&gt;=5,IFERROR(VLOOKUP(AJ834,Equip!$A:$N,13,FALSE),0)&lt;=9),INT(VLOOKUP(AJ834,Equip!$A:$N,6,FALSE)*SQRT(AN834)),0)</f>
        <v>0</v>
      </c>
      <c r="AT834">
        <f>IF(AND(IFERROR(VLOOKUP(AK834,Equip!$A:$N,13,FALSE),0)&gt;=5,IFERROR(VLOOKUP(AK834,Equip!$A:$N,13,FALSE),0)&lt;=9),INT(VLOOKUP(AK834,Equip!$A:$N,6,FALSE)*SQRT(AO834)),0)</f>
        <v>0</v>
      </c>
      <c r="AU834">
        <f>IF(AND(IFERROR(VLOOKUP(AL834,Equip!$A:$N,13,FALSE),0)&gt;=5,IFERROR(VLOOKUP(AL834,Equip!$A:$N,13,FALSE),0)&lt;=9),INT(VLOOKUP(AL834,Equip!$A:$N,6,FALSE)*SQRT(AP834)),0)</f>
        <v>0</v>
      </c>
      <c r="AV834">
        <f>IF(AND(IFERROR(VLOOKUP(AM834,Equip!$A:$N,13,FALSE),0)&gt;=5,IFERROR(VLOOKUP(AM834,Equip!$A:$N,13,FALSE),0)&lt;=9),INT(VLOOKUP(AM834,Equip!$A:$N,6,FALSE)*SQRT(AQ834)),0)</f>
        <v>0</v>
      </c>
      <c r="AW834">
        <f t="shared" si="1999"/>
        <v>0</v>
      </c>
      <c r="AX834">
        <f t="shared" si="2000"/>
        <v>461</v>
      </c>
    </row>
    <row r="835" spans="1:50">
      <c r="A835">
        <v>781</v>
      </c>
      <c r="B835" t="s">
        <v>1128</v>
      </c>
      <c r="C835" t="s">
        <v>1129</v>
      </c>
      <c r="D835">
        <v>0</v>
      </c>
      <c r="E835">
        <v>2077</v>
      </c>
      <c r="F835">
        <v>1088</v>
      </c>
      <c r="G835">
        <v>781</v>
      </c>
      <c r="H835">
        <v>1</v>
      </c>
      <c r="I835">
        <v>5</v>
      </c>
      <c r="J835">
        <v>4</v>
      </c>
      <c r="K835">
        <v>3</v>
      </c>
      <c r="L835">
        <v>4</v>
      </c>
      <c r="M835">
        <v>49</v>
      </c>
      <c r="N835">
        <v>49</v>
      </c>
      <c r="O835">
        <v>34</v>
      </c>
      <c r="P835">
        <v>26</v>
      </c>
      <c r="Q835">
        <v>10</v>
      </c>
      <c r="R835">
        <v>30</v>
      </c>
      <c r="S835">
        <v>36</v>
      </c>
      <c r="T835">
        <v>0</v>
      </c>
      <c r="U835">
        <v>10</v>
      </c>
      <c r="V835">
        <v>13</v>
      </c>
      <c r="W835">
        <v>2</v>
      </c>
      <c r="X835">
        <v>15</v>
      </c>
      <c r="Y835">
        <v>0</v>
      </c>
      <c r="Z835">
        <v>35</v>
      </c>
      <c r="AA835">
        <v>70</v>
      </c>
      <c r="AB835">
        <v>54</v>
      </c>
      <c r="AC835">
        <v>45</v>
      </c>
      <c r="AD835">
        <v>66</v>
      </c>
      <c r="AE835">
        <v>41</v>
      </c>
      <c r="AF835">
        <v>49</v>
      </c>
      <c r="AG835">
        <v>70</v>
      </c>
      <c r="AH835">
        <v>0</v>
      </c>
      <c r="AI835">
        <v>48</v>
      </c>
      <c r="AJ835">
        <v>785</v>
      </c>
      <c r="AK835">
        <v>744</v>
      </c>
      <c r="AL835">
        <v>772</v>
      </c>
      <c r="AM835">
        <v>-1</v>
      </c>
      <c r="AN835">
        <v>2</v>
      </c>
      <c r="AO835">
        <v>2</v>
      </c>
      <c r="AP835">
        <v>2</v>
      </c>
      <c r="AQ835">
        <v>0</v>
      </c>
      <c r="AR835">
        <f t="shared" si="2025"/>
        <v>6</v>
      </c>
      <c r="AS835">
        <f>IF(AND(IFERROR(VLOOKUP(AJ835,Equip!$A:$N,13,FALSE),0)&gt;=5,IFERROR(VLOOKUP(AJ835,Equip!$A:$N,13,FALSE),0)&lt;=9),INT(VLOOKUP(AJ835,Equip!$A:$N,6,FALSE)*SQRT(AN835)),0)</f>
        <v>0</v>
      </c>
      <c r="AT835">
        <f>IF(AND(IFERROR(VLOOKUP(AK835,Equip!$A:$N,13,FALSE),0)&gt;=5,IFERROR(VLOOKUP(AK835,Equip!$A:$N,13,FALSE),0)&lt;=9),INT(VLOOKUP(AK835,Equip!$A:$N,6,FALSE)*SQRT(AO835)),0)</f>
        <v>0</v>
      </c>
      <c r="AU835">
        <f>IF(AND(IFERROR(VLOOKUP(AL835,Equip!$A:$N,13,FALSE),0)&gt;=5,IFERROR(VLOOKUP(AL835,Equip!$A:$N,13,FALSE),0)&lt;=9),INT(VLOOKUP(AL835,Equip!$A:$N,6,FALSE)*SQRT(AP835)),0)</f>
        <v>0</v>
      </c>
      <c r="AV835">
        <f>IF(AND(IFERROR(VLOOKUP(AM835,Equip!$A:$N,13,FALSE),0)&gt;=5,IFERROR(VLOOKUP(AM835,Equip!$A:$N,13,FALSE),0)&lt;=9),INT(VLOOKUP(AM835,Equip!$A:$N,6,FALSE)*SQRT(AQ835)),0)</f>
        <v>0</v>
      </c>
      <c r="AW835">
        <f t="shared" si="1999"/>
        <v>0</v>
      </c>
      <c r="AX835">
        <f t="shared" si="2000"/>
        <v>373</v>
      </c>
    </row>
    <row r="836" spans="1:50">
      <c r="A836">
        <v>781</v>
      </c>
      <c r="B836" t="s">
        <v>1128</v>
      </c>
      <c r="C836" t="s">
        <v>1129</v>
      </c>
      <c r="D836">
        <v>1</v>
      </c>
      <c r="E836">
        <f t="shared" ref="E836:E837" si="2236">E835</f>
        <v>2077</v>
      </c>
      <c r="F836">
        <f t="shared" ref="F836:F837" si="2237">F835</f>
        <v>1088</v>
      </c>
      <c r="G836">
        <f t="shared" ref="G836:G837" si="2238">G835</f>
        <v>781</v>
      </c>
      <c r="H836">
        <f t="shared" ref="H836:H837" si="2239">H835</f>
        <v>1</v>
      </c>
      <c r="I836">
        <f t="shared" ref="I836:I837" si="2240">I835</f>
        <v>5</v>
      </c>
      <c r="J836">
        <f t="shared" ref="J836:J837" si="2241">J835</f>
        <v>4</v>
      </c>
      <c r="K836">
        <v>3</v>
      </c>
      <c r="L836">
        <v>4</v>
      </c>
      <c r="M836">
        <v>60</v>
      </c>
      <c r="N836">
        <v>60</v>
      </c>
      <c r="O836">
        <v>39</v>
      </c>
      <c r="P836">
        <v>36</v>
      </c>
      <c r="Q836">
        <v>25</v>
      </c>
      <c r="R836">
        <v>36</v>
      </c>
      <c r="S836">
        <v>51</v>
      </c>
      <c r="T836">
        <v>0</v>
      </c>
      <c r="U836">
        <f t="shared" ref="U836:U837" si="2242">U835</f>
        <v>10</v>
      </c>
      <c r="V836">
        <v>23</v>
      </c>
      <c r="W836">
        <f t="shared" ref="W836:W837" si="2243">W835</f>
        <v>2</v>
      </c>
      <c r="X836">
        <v>17</v>
      </c>
      <c r="Y836">
        <f t="shared" ref="Y836:Y837" si="2244">Y835</f>
        <v>0</v>
      </c>
      <c r="Z836">
        <v>35</v>
      </c>
      <c r="AA836">
        <v>70</v>
      </c>
      <c r="AB836">
        <v>71</v>
      </c>
      <c r="AC836">
        <v>73</v>
      </c>
      <c r="AD836">
        <v>78</v>
      </c>
      <c r="AE836">
        <v>62</v>
      </c>
      <c r="AF836">
        <v>59</v>
      </c>
      <c r="AG836">
        <v>74</v>
      </c>
      <c r="AH836">
        <v>0</v>
      </c>
      <c r="AI836">
        <v>58</v>
      </c>
      <c r="AJ836">
        <v>785</v>
      </c>
      <c r="AK836">
        <v>746</v>
      </c>
      <c r="AL836">
        <v>772</v>
      </c>
      <c r="AM836">
        <v>0</v>
      </c>
      <c r="AN836">
        <v>2</v>
      </c>
      <c r="AO836">
        <v>2</v>
      </c>
      <c r="AP836">
        <v>2</v>
      </c>
      <c r="AQ836">
        <v>2</v>
      </c>
      <c r="AR836">
        <f t="shared" si="2025"/>
        <v>8</v>
      </c>
      <c r="AS836">
        <f>IF(AND(IFERROR(VLOOKUP(AJ836,Equip!$A:$N,13,FALSE),0)&gt;=5,IFERROR(VLOOKUP(AJ836,Equip!$A:$N,13,FALSE),0)&lt;=9),INT(VLOOKUP(AJ836,Equip!$A:$N,6,FALSE)*SQRT(AN836)),0)</f>
        <v>0</v>
      </c>
      <c r="AT836">
        <f>IF(AND(IFERROR(VLOOKUP(AK836,Equip!$A:$N,13,FALSE),0)&gt;=5,IFERROR(VLOOKUP(AK836,Equip!$A:$N,13,FALSE),0)&lt;=9),INT(VLOOKUP(AK836,Equip!$A:$N,6,FALSE)*SQRT(AO836)),0)</f>
        <v>0</v>
      </c>
      <c r="AU836">
        <f>IF(AND(IFERROR(VLOOKUP(AL836,Equip!$A:$N,13,FALSE),0)&gt;=5,IFERROR(VLOOKUP(AL836,Equip!$A:$N,13,FALSE),0)&lt;=9),INT(VLOOKUP(AL836,Equip!$A:$N,6,FALSE)*SQRT(AP836)),0)</f>
        <v>0</v>
      </c>
      <c r="AV836">
        <f>IF(AND(IFERROR(VLOOKUP(AM836,Equip!$A:$N,13,FALSE),0)&gt;=5,IFERROR(VLOOKUP(AM836,Equip!$A:$N,13,FALSE),0)&lt;=9),INT(VLOOKUP(AM836,Equip!$A:$N,6,FALSE)*SQRT(AQ836)),0)</f>
        <v>0</v>
      </c>
      <c r="AW836">
        <f t="shared" ref="AW836:AW899" si="2245">SUM(AS836:AV836)</f>
        <v>0</v>
      </c>
      <c r="AX836">
        <f t="shared" ref="AX836:AX899" si="2246">SUM(N836,AB836:AE836,AG836:AI836)</f>
        <v>476</v>
      </c>
    </row>
    <row r="837" spans="1:50">
      <c r="A837">
        <v>781</v>
      </c>
      <c r="B837" t="s">
        <v>1128</v>
      </c>
      <c r="C837" t="s">
        <v>1129</v>
      </c>
      <c r="D837">
        <v>2</v>
      </c>
      <c r="E837">
        <f t="shared" si="2236"/>
        <v>2077</v>
      </c>
      <c r="F837">
        <f t="shared" si="2237"/>
        <v>1088</v>
      </c>
      <c r="G837">
        <f t="shared" si="2238"/>
        <v>781</v>
      </c>
      <c r="H837">
        <f t="shared" si="2239"/>
        <v>1</v>
      </c>
      <c r="I837">
        <f t="shared" si="2240"/>
        <v>5</v>
      </c>
      <c r="J837">
        <f t="shared" si="2241"/>
        <v>4</v>
      </c>
      <c r="K837">
        <v>3</v>
      </c>
      <c r="L837">
        <v>4</v>
      </c>
      <c r="M837">
        <v>68</v>
      </c>
      <c r="N837">
        <v>68</v>
      </c>
      <c r="O837">
        <v>42</v>
      </c>
      <c r="P837">
        <v>47</v>
      </c>
      <c r="Q837">
        <v>31</v>
      </c>
      <c r="R837">
        <v>44</v>
      </c>
      <c r="S837">
        <v>58</v>
      </c>
      <c r="T837">
        <v>0</v>
      </c>
      <c r="U837">
        <f t="shared" si="2242"/>
        <v>10</v>
      </c>
      <c r="V837">
        <v>26</v>
      </c>
      <c r="W837">
        <f t="shared" si="2243"/>
        <v>2</v>
      </c>
      <c r="X837">
        <v>20</v>
      </c>
      <c r="Y837">
        <f t="shared" si="2244"/>
        <v>0</v>
      </c>
      <c r="Z837">
        <v>40</v>
      </c>
      <c r="AA837">
        <v>75</v>
      </c>
      <c r="AB837">
        <v>74</v>
      </c>
      <c r="AC837">
        <v>79</v>
      </c>
      <c r="AD837">
        <v>87</v>
      </c>
      <c r="AE837">
        <v>75</v>
      </c>
      <c r="AF837">
        <v>69</v>
      </c>
      <c r="AG837">
        <v>82</v>
      </c>
      <c r="AH837">
        <v>0</v>
      </c>
      <c r="AI837">
        <v>64</v>
      </c>
      <c r="AJ837">
        <v>785</v>
      </c>
      <c r="AK837">
        <v>191</v>
      </c>
      <c r="AL837">
        <v>832</v>
      </c>
      <c r="AM837">
        <v>0</v>
      </c>
      <c r="AN837">
        <v>2</v>
      </c>
      <c r="AO837">
        <v>2</v>
      </c>
      <c r="AP837">
        <v>2</v>
      </c>
      <c r="AQ837">
        <v>2</v>
      </c>
      <c r="AR837">
        <f t="shared" si="2025"/>
        <v>8</v>
      </c>
      <c r="AS837">
        <f>IF(AND(IFERROR(VLOOKUP(AJ837,Equip!$A:$N,13,FALSE),0)&gt;=5,IFERROR(VLOOKUP(AJ837,Equip!$A:$N,13,FALSE),0)&lt;=9),INT(VLOOKUP(AJ837,Equip!$A:$N,6,FALSE)*SQRT(AN837)),0)</f>
        <v>0</v>
      </c>
      <c r="AT837">
        <f>IF(AND(IFERROR(VLOOKUP(AK837,Equip!$A:$N,13,FALSE),0)&gt;=5,IFERROR(VLOOKUP(AK837,Equip!$A:$N,13,FALSE),0)&lt;=9),INT(VLOOKUP(AK837,Equip!$A:$N,6,FALSE)*SQRT(AO837)),0)</f>
        <v>0</v>
      </c>
      <c r="AU837">
        <f>IF(AND(IFERROR(VLOOKUP(AL837,Equip!$A:$N,13,FALSE),0)&gt;=5,IFERROR(VLOOKUP(AL837,Equip!$A:$N,13,FALSE),0)&lt;=9),INT(VLOOKUP(AL837,Equip!$A:$N,6,FALSE)*SQRT(AP837)),0)</f>
        <v>0</v>
      </c>
      <c r="AV837">
        <f>IF(AND(IFERROR(VLOOKUP(AM837,Equip!$A:$N,13,FALSE),0)&gt;=5,IFERROR(VLOOKUP(AM837,Equip!$A:$N,13,FALSE),0)&lt;=9),INT(VLOOKUP(AM837,Equip!$A:$N,6,FALSE)*SQRT(AQ837)),0)</f>
        <v>0</v>
      </c>
      <c r="AW837">
        <f t="shared" si="2245"/>
        <v>0</v>
      </c>
      <c r="AX837">
        <f t="shared" si="2246"/>
        <v>529</v>
      </c>
    </row>
    <row r="838" spans="1:50">
      <c r="A838">
        <v>782</v>
      </c>
      <c r="B838" t="s">
        <v>1130</v>
      </c>
      <c r="C838" t="s">
        <v>1130</v>
      </c>
      <c r="D838">
        <v>0</v>
      </c>
      <c r="E838">
        <v>1200</v>
      </c>
      <c r="F838">
        <v>710</v>
      </c>
      <c r="G838">
        <v>782</v>
      </c>
      <c r="H838">
        <v>1</v>
      </c>
      <c r="I838">
        <v>2</v>
      </c>
      <c r="J838">
        <v>2</v>
      </c>
      <c r="K838">
        <v>14</v>
      </c>
      <c r="L838">
        <v>1</v>
      </c>
      <c r="M838">
        <v>7</v>
      </c>
      <c r="N838">
        <v>7</v>
      </c>
      <c r="O838">
        <v>2</v>
      </c>
      <c r="P838">
        <v>3</v>
      </c>
      <c r="Q838">
        <v>22</v>
      </c>
      <c r="R838">
        <v>18</v>
      </c>
      <c r="S838">
        <v>0</v>
      </c>
      <c r="T838">
        <v>0</v>
      </c>
      <c r="U838">
        <v>5</v>
      </c>
      <c r="V838">
        <v>9</v>
      </c>
      <c r="W838">
        <v>1</v>
      </c>
      <c r="X838">
        <v>25</v>
      </c>
      <c r="Y838">
        <v>0</v>
      </c>
      <c r="Z838">
        <v>10</v>
      </c>
      <c r="AA838">
        <v>20</v>
      </c>
      <c r="AB838">
        <v>7</v>
      </c>
      <c r="AC838">
        <v>58</v>
      </c>
      <c r="AD838">
        <v>0</v>
      </c>
      <c r="AE838">
        <v>15</v>
      </c>
      <c r="AF838">
        <v>59</v>
      </c>
      <c r="AG838">
        <v>44</v>
      </c>
      <c r="AH838">
        <v>0</v>
      </c>
      <c r="AI838">
        <v>29</v>
      </c>
      <c r="AJ838">
        <v>798</v>
      </c>
      <c r="AK838">
        <v>0</v>
      </c>
      <c r="AL838">
        <v>-1</v>
      </c>
      <c r="AM838">
        <v>-1</v>
      </c>
      <c r="AN838">
        <v>0</v>
      </c>
      <c r="AO838">
        <v>0</v>
      </c>
      <c r="AP838">
        <v>0</v>
      </c>
      <c r="AQ838">
        <v>0</v>
      </c>
      <c r="AR838">
        <f t="shared" si="2025"/>
        <v>0</v>
      </c>
      <c r="AS838">
        <f>IF(AND(IFERROR(VLOOKUP(AJ838,Equip!$A:$N,13,FALSE),0)&gt;=5,IFERROR(VLOOKUP(AJ838,Equip!$A:$N,13,FALSE),0)&lt;=9),INT(VLOOKUP(AJ838,Equip!$A:$N,6,FALSE)*SQRT(AN838)),0)</f>
        <v>0</v>
      </c>
      <c r="AT838">
        <f>IF(AND(IFERROR(VLOOKUP(AK838,Equip!$A:$N,13,FALSE),0)&gt;=5,IFERROR(VLOOKUP(AK838,Equip!$A:$N,13,FALSE),0)&lt;=9),INT(VLOOKUP(AK838,Equip!$A:$N,6,FALSE)*SQRT(AO838)),0)</f>
        <v>0</v>
      </c>
      <c r="AU838">
        <f>IF(AND(IFERROR(VLOOKUP(AL838,Equip!$A:$N,13,FALSE),0)&gt;=5,IFERROR(VLOOKUP(AL838,Equip!$A:$N,13,FALSE),0)&lt;=9),INT(VLOOKUP(AL838,Equip!$A:$N,6,FALSE)*SQRT(AP838)),0)</f>
        <v>0</v>
      </c>
      <c r="AV838">
        <f>IF(AND(IFERROR(VLOOKUP(AM838,Equip!$A:$N,13,FALSE),0)&gt;=5,IFERROR(VLOOKUP(AM838,Equip!$A:$N,13,FALSE),0)&lt;=9),INT(VLOOKUP(AM838,Equip!$A:$N,6,FALSE)*SQRT(AQ838)),0)</f>
        <v>0</v>
      </c>
      <c r="AW838">
        <f t="shared" si="2245"/>
        <v>0</v>
      </c>
      <c r="AX838">
        <f t="shared" si="2246"/>
        <v>160</v>
      </c>
    </row>
    <row r="839" spans="1:50">
      <c r="A839">
        <v>782</v>
      </c>
      <c r="B839" t="s">
        <v>1130</v>
      </c>
      <c r="C839" t="s">
        <v>1130</v>
      </c>
      <c r="D839">
        <v>1</v>
      </c>
      <c r="E839">
        <f>E838</f>
        <v>1200</v>
      </c>
      <c r="F839">
        <f t="shared" ref="F839" si="2247">F838</f>
        <v>710</v>
      </c>
      <c r="G839">
        <f t="shared" ref="G839" si="2248">G838</f>
        <v>782</v>
      </c>
      <c r="H839">
        <f t="shared" ref="H839" si="2249">H838</f>
        <v>1</v>
      </c>
      <c r="I839">
        <f t="shared" ref="I839" si="2250">I838</f>
        <v>2</v>
      </c>
      <c r="J839">
        <f t="shared" ref="J839" si="2251">J838</f>
        <v>2</v>
      </c>
      <c r="K839">
        <v>3</v>
      </c>
      <c r="L839">
        <v>1</v>
      </c>
      <c r="M839">
        <v>12</v>
      </c>
      <c r="N839">
        <v>12</v>
      </c>
      <c r="O839">
        <v>4</v>
      </c>
      <c r="P839">
        <v>4</v>
      </c>
      <c r="Q839">
        <v>30</v>
      </c>
      <c r="R839">
        <v>24</v>
      </c>
      <c r="S839">
        <v>0</v>
      </c>
      <c r="T839">
        <v>0</v>
      </c>
      <c r="U839">
        <f t="shared" ref="U839" si="2252">U838</f>
        <v>5</v>
      </c>
      <c r="V839">
        <v>13</v>
      </c>
      <c r="W839">
        <f t="shared" ref="W839" si="2253">W838</f>
        <v>1</v>
      </c>
      <c r="X839">
        <v>30</v>
      </c>
      <c r="Y839">
        <f t="shared" ref="Y839" si="2254">Y838</f>
        <v>0</v>
      </c>
      <c r="Z839">
        <v>10</v>
      </c>
      <c r="AA839">
        <v>20</v>
      </c>
      <c r="AB839">
        <v>12</v>
      </c>
      <c r="AC839">
        <v>69</v>
      </c>
      <c r="AD839">
        <v>0</v>
      </c>
      <c r="AE839">
        <v>20</v>
      </c>
      <c r="AF839">
        <v>69</v>
      </c>
      <c r="AG839">
        <v>68</v>
      </c>
      <c r="AH839">
        <v>0</v>
      </c>
      <c r="AI839">
        <v>35</v>
      </c>
      <c r="AJ839">
        <v>798</v>
      </c>
      <c r="AK839">
        <v>0</v>
      </c>
      <c r="AL839">
        <v>-1</v>
      </c>
      <c r="AM839">
        <v>-1</v>
      </c>
      <c r="AN839">
        <v>0</v>
      </c>
      <c r="AO839">
        <v>0</v>
      </c>
      <c r="AP839">
        <v>0</v>
      </c>
      <c r="AQ839">
        <v>0</v>
      </c>
      <c r="AR839">
        <f t="shared" si="2025"/>
        <v>0</v>
      </c>
      <c r="AS839">
        <f>IF(AND(IFERROR(VLOOKUP(AJ839,Equip!$A:$N,13,FALSE),0)&gt;=5,IFERROR(VLOOKUP(AJ839,Equip!$A:$N,13,FALSE),0)&lt;=9),INT(VLOOKUP(AJ839,Equip!$A:$N,6,FALSE)*SQRT(AN839)),0)</f>
        <v>0</v>
      </c>
      <c r="AT839">
        <f>IF(AND(IFERROR(VLOOKUP(AK839,Equip!$A:$N,13,FALSE),0)&gt;=5,IFERROR(VLOOKUP(AK839,Equip!$A:$N,13,FALSE),0)&lt;=9),INT(VLOOKUP(AK839,Equip!$A:$N,6,FALSE)*SQRT(AO839)),0)</f>
        <v>0</v>
      </c>
      <c r="AU839">
        <f>IF(AND(IFERROR(VLOOKUP(AL839,Equip!$A:$N,13,FALSE),0)&gt;=5,IFERROR(VLOOKUP(AL839,Equip!$A:$N,13,FALSE),0)&lt;=9),INT(VLOOKUP(AL839,Equip!$A:$N,6,FALSE)*SQRT(AP839)),0)</f>
        <v>0</v>
      </c>
      <c r="AV839">
        <f>IF(AND(IFERROR(VLOOKUP(AM839,Equip!$A:$N,13,FALSE),0)&gt;=5,IFERROR(VLOOKUP(AM839,Equip!$A:$N,13,FALSE),0)&lt;=9),INT(VLOOKUP(AM839,Equip!$A:$N,6,FALSE)*SQRT(AQ839)),0)</f>
        <v>0</v>
      </c>
      <c r="AW839">
        <f t="shared" si="2245"/>
        <v>0</v>
      </c>
      <c r="AX839">
        <f t="shared" si="2246"/>
        <v>216</v>
      </c>
    </row>
    <row r="841" spans="1:50">
      <c r="A841">
        <v>900</v>
      </c>
      <c r="B841" t="s">
        <v>1131</v>
      </c>
      <c r="C841" t="s">
        <v>1131</v>
      </c>
      <c r="D841">
        <v>0</v>
      </c>
      <c r="E841">
        <v>0</v>
      </c>
      <c r="F841">
        <v>0</v>
      </c>
      <c r="G841">
        <v>900</v>
      </c>
      <c r="H841">
        <v>0</v>
      </c>
      <c r="I841">
        <v>0</v>
      </c>
      <c r="J841">
        <v>0</v>
      </c>
      <c r="K841">
        <v>7</v>
      </c>
      <c r="L841">
        <v>10</v>
      </c>
      <c r="M841">
        <v>999</v>
      </c>
      <c r="N841">
        <v>999</v>
      </c>
      <c r="O841">
        <v>20</v>
      </c>
      <c r="P841">
        <v>20</v>
      </c>
      <c r="Q841">
        <v>20</v>
      </c>
      <c r="R841">
        <v>20</v>
      </c>
      <c r="S841">
        <v>20</v>
      </c>
      <c r="T841">
        <v>20</v>
      </c>
      <c r="U841">
        <v>5</v>
      </c>
      <c r="V841">
        <v>20</v>
      </c>
      <c r="W841">
        <v>1</v>
      </c>
      <c r="X841">
        <v>1</v>
      </c>
      <c r="Y841">
        <v>20</v>
      </c>
      <c r="Z841">
        <v>20</v>
      </c>
      <c r="AA841">
        <v>20</v>
      </c>
      <c r="AB841">
        <v>20</v>
      </c>
      <c r="AC841">
        <v>20</v>
      </c>
      <c r="AD841">
        <v>20</v>
      </c>
      <c r="AE841">
        <v>20</v>
      </c>
      <c r="AF841">
        <v>1</v>
      </c>
      <c r="AG841">
        <v>20</v>
      </c>
      <c r="AH841">
        <v>20</v>
      </c>
      <c r="AI841">
        <v>20</v>
      </c>
      <c r="AJ841">
        <v>122</v>
      </c>
      <c r="AK841">
        <v>27</v>
      </c>
      <c r="AL841">
        <v>41</v>
      </c>
      <c r="AM841">
        <v>26</v>
      </c>
      <c r="AN841">
        <v>0</v>
      </c>
      <c r="AO841">
        <v>0</v>
      </c>
      <c r="AP841">
        <v>0</v>
      </c>
      <c r="AQ841">
        <v>12</v>
      </c>
      <c r="AR841">
        <f t="shared" si="2025"/>
        <v>12</v>
      </c>
      <c r="AS841">
        <f>IF(AND(IFERROR(VLOOKUP(AJ841,Equip!$A:$N,13,FALSE),0)&gt;=5,IFERROR(VLOOKUP(AJ841,Equip!$A:$N,13,FALSE),0)&lt;=9),INT(VLOOKUP(AJ841,Equip!$A:$N,6,FALSE)*SQRT(AN841)),0)</f>
        <v>0</v>
      </c>
      <c r="AT841">
        <f>IF(AND(IFERROR(VLOOKUP(AK841,Equip!$A:$N,13,FALSE),0)&gt;=5,IFERROR(VLOOKUP(AK841,Equip!$A:$N,13,FALSE),0)&lt;=9),INT(VLOOKUP(AK841,Equip!$A:$N,6,FALSE)*SQRT(AO841)),0)</f>
        <v>0</v>
      </c>
      <c r="AU841">
        <f>IF(AND(IFERROR(VLOOKUP(AL841,Equip!$A:$N,13,FALSE),0)&gt;=5,IFERROR(VLOOKUP(AL841,Equip!$A:$N,13,FALSE),0)&lt;=9),INT(VLOOKUP(AL841,Equip!$A:$N,6,FALSE)*SQRT(AP841)),0)</f>
        <v>0</v>
      </c>
      <c r="AV841">
        <f>IF(AND(IFERROR(VLOOKUP(AM841,Equip!$A:$N,13,FALSE),0)&gt;=5,IFERROR(VLOOKUP(AM841,Equip!$A:$N,13,FALSE),0)&lt;=9),INT(VLOOKUP(AM841,Equip!$A:$N,6,FALSE)*SQRT(AQ841)),0)</f>
        <v>0</v>
      </c>
      <c r="AW841">
        <f t="shared" si="2245"/>
        <v>0</v>
      </c>
      <c r="AX841">
        <f t="shared" si="2246"/>
        <v>1139</v>
      </c>
    </row>
    <row r="843" spans="1:50">
      <c r="A843">
        <v>901</v>
      </c>
      <c r="B843" t="s">
        <v>1132</v>
      </c>
      <c r="C843" t="s">
        <v>1132</v>
      </c>
      <c r="D843">
        <v>0</v>
      </c>
      <c r="E843">
        <v>0</v>
      </c>
      <c r="F843">
        <v>0</v>
      </c>
      <c r="G843">
        <v>901</v>
      </c>
      <c r="H843">
        <v>0</v>
      </c>
      <c r="I843">
        <v>0</v>
      </c>
      <c r="J843">
        <v>0</v>
      </c>
      <c r="K843">
        <v>1</v>
      </c>
      <c r="L843">
        <v>1</v>
      </c>
      <c r="M843">
        <v>38</v>
      </c>
      <c r="N843">
        <v>38</v>
      </c>
      <c r="O843">
        <v>5</v>
      </c>
      <c r="P843">
        <v>5</v>
      </c>
      <c r="Q843">
        <v>15</v>
      </c>
      <c r="R843">
        <v>14</v>
      </c>
      <c r="S843">
        <v>6</v>
      </c>
      <c r="T843">
        <v>25</v>
      </c>
      <c r="U843">
        <v>10</v>
      </c>
      <c r="V843">
        <v>3</v>
      </c>
      <c r="W843">
        <v>1</v>
      </c>
      <c r="X843">
        <v>1</v>
      </c>
      <c r="Y843">
        <v>0</v>
      </c>
      <c r="Z843">
        <v>0</v>
      </c>
      <c r="AA843">
        <v>0</v>
      </c>
      <c r="AB843">
        <v>5</v>
      </c>
      <c r="AC843">
        <v>15</v>
      </c>
      <c r="AD843">
        <v>6</v>
      </c>
      <c r="AE843">
        <v>5</v>
      </c>
      <c r="AF843">
        <v>1</v>
      </c>
      <c r="AG843">
        <v>14</v>
      </c>
      <c r="AH843">
        <v>25</v>
      </c>
      <c r="AI843">
        <v>3</v>
      </c>
      <c r="AJ843">
        <v>501</v>
      </c>
      <c r="AK843">
        <v>0</v>
      </c>
      <c r="AL843">
        <v>-1</v>
      </c>
      <c r="AM843">
        <v>-1</v>
      </c>
      <c r="AN843">
        <v>0</v>
      </c>
      <c r="AO843">
        <v>0</v>
      </c>
      <c r="AP843">
        <v>0</v>
      </c>
      <c r="AQ843">
        <v>0</v>
      </c>
      <c r="AR843">
        <f t="shared" ref="AR843:AR906" si="2255">SUM(AN843:AQ843)</f>
        <v>0</v>
      </c>
      <c r="AS843">
        <f>IF(AND(IFERROR(VLOOKUP(AJ843,Equip!$A:$N,13,FALSE),0)&gt;=5,IFERROR(VLOOKUP(AJ843,Equip!$A:$N,13,FALSE),0)&lt;=9),INT(VLOOKUP(AJ843,Equip!$A:$N,6,FALSE)*SQRT(AN843)),0)</f>
        <v>0</v>
      </c>
      <c r="AT843">
        <f>IF(AND(IFERROR(VLOOKUP(AK843,Equip!$A:$N,13,FALSE),0)&gt;=5,IFERROR(VLOOKUP(AK843,Equip!$A:$N,13,FALSE),0)&lt;=9),INT(VLOOKUP(AK843,Equip!$A:$N,6,FALSE)*SQRT(AO843)),0)</f>
        <v>0</v>
      </c>
      <c r="AU843">
        <f>IF(AND(IFERROR(VLOOKUP(AL843,Equip!$A:$N,13,FALSE),0)&gt;=5,IFERROR(VLOOKUP(AL843,Equip!$A:$N,13,FALSE),0)&lt;=9),INT(VLOOKUP(AL843,Equip!$A:$N,6,FALSE)*SQRT(AP843)),0)</f>
        <v>0</v>
      </c>
      <c r="AV843">
        <f>IF(AND(IFERROR(VLOOKUP(AM843,Equip!$A:$N,13,FALSE),0)&gt;=5,IFERROR(VLOOKUP(AM843,Equip!$A:$N,13,FALSE),0)&lt;=9),INT(VLOOKUP(AM843,Equip!$A:$N,6,FALSE)*SQRT(AQ843)),0)</f>
        <v>0</v>
      </c>
      <c r="AW843">
        <f t="shared" si="2245"/>
        <v>0</v>
      </c>
      <c r="AX843">
        <f t="shared" si="2246"/>
        <v>111</v>
      </c>
    </row>
    <row r="844" spans="1:50">
      <c r="A844">
        <v>902</v>
      </c>
      <c r="B844" t="s">
        <v>1133</v>
      </c>
      <c r="C844" t="s">
        <v>1133</v>
      </c>
      <c r="D844">
        <v>0</v>
      </c>
      <c r="E844">
        <v>0</v>
      </c>
      <c r="F844">
        <v>0</v>
      </c>
      <c r="G844">
        <v>902</v>
      </c>
      <c r="H844">
        <v>0</v>
      </c>
      <c r="I844">
        <v>0</v>
      </c>
      <c r="J844">
        <v>0</v>
      </c>
      <c r="K844">
        <v>1</v>
      </c>
      <c r="L844">
        <v>1</v>
      </c>
      <c r="M844">
        <v>40</v>
      </c>
      <c r="N844">
        <v>40</v>
      </c>
      <c r="O844">
        <v>7</v>
      </c>
      <c r="P844">
        <v>6</v>
      </c>
      <c r="Q844">
        <v>16</v>
      </c>
      <c r="R844">
        <v>15</v>
      </c>
      <c r="S844">
        <v>7</v>
      </c>
      <c r="T844">
        <v>25</v>
      </c>
      <c r="U844">
        <v>10</v>
      </c>
      <c r="V844">
        <v>3</v>
      </c>
      <c r="W844">
        <v>1</v>
      </c>
      <c r="X844">
        <v>1</v>
      </c>
      <c r="Y844">
        <v>0</v>
      </c>
      <c r="Z844">
        <v>0</v>
      </c>
      <c r="AA844">
        <v>0</v>
      </c>
      <c r="AB844">
        <v>7</v>
      </c>
      <c r="AC844">
        <v>16</v>
      </c>
      <c r="AD844">
        <v>7</v>
      </c>
      <c r="AE844">
        <v>6</v>
      </c>
      <c r="AF844">
        <v>1</v>
      </c>
      <c r="AG844">
        <v>15</v>
      </c>
      <c r="AH844">
        <v>25</v>
      </c>
      <c r="AI844">
        <v>3</v>
      </c>
      <c r="AJ844">
        <v>502</v>
      </c>
      <c r="AK844">
        <v>0</v>
      </c>
      <c r="AL844">
        <v>-1</v>
      </c>
      <c r="AM844">
        <v>-1</v>
      </c>
      <c r="AN844">
        <v>0</v>
      </c>
      <c r="AO844">
        <v>0</v>
      </c>
      <c r="AP844">
        <v>0</v>
      </c>
      <c r="AQ844">
        <v>0</v>
      </c>
      <c r="AR844">
        <f t="shared" si="2255"/>
        <v>0</v>
      </c>
      <c r="AS844">
        <f>IF(AND(IFERROR(VLOOKUP(AJ844,Equip!$A:$N,13,FALSE),0)&gt;=5,IFERROR(VLOOKUP(AJ844,Equip!$A:$N,13,FALSE),0)&lt;=9),INT(VLOOKUP(AJ844,Equip!$A:$N,6,FALSE)*SQRT(AN844)),0)</f>
        <v>0</v>
      </c>
      <c r="AT844">
        <f>IF(AND(IFERROR(VLOOKUP(AK844,Equip!$A:$N,13,FALSE),0)&gt;=5,IFERROR(VLOOKUP(AK844,Equip!$A:$N,13,FALSE),0)&lt;=9),INT(VLOOKUP(AK844,Equip!$A:$N,6,FALSE)*SQRT(AO844)),0)</f>
        <v>0</v>
      </c>
      <c r="AU844">
        <f>IF(AND(IFERROR(VLOOKUP(AL844,Equip!$A:$N,13,FALSE),0)&gt;=5,IFERROR(VLOOKUP(AL844,Equip!$A:$N,13,FALSE),0)&lt;=9),INT(VLOOKUP(AL844,Equip!$A:$N,6,FALSE)*SQRT(AP844)),0)</f>
        <v>0</v>
      </c>
      <c r="AV844">
        <f>IF(AND(IFERROR(VLOOKUP(AM844,Equip!$A:$N,13,FALSE),0)&gt;=5,IFERROR(VLOOKUP(AM844,Equip!$A:$N,13,FALSE),0)&lt;=9),INT(VLOOKUP(AM844,Equip!$A:$N,6,FALSE)*SQRT(AQ844)),0)</f>
        <v>0</v>
      </c>
      <c r="AW844">
        <f t="shared" si="2245"/>
        <v>0</v>
      </c>
      <c r="AX844">
        <f t="shared" si="2246"/>
        <v>119</v>
      </c>
    </row>
    <row r="845" spans="1:50">
      <c r="A845">
        <v>903</v>
      </c>
      <c r="B845" t="s">
        <v>1134</v>
      </c>
      <c r="C845" t="s">
        <v>1134</v>
      </c>
      <c r="D845">
        <v>0</v>
      </c>
      <c r="E845">
        <v>0</v>
      </c>
      <c r="F845">
        <v>0</v>
      </c>
      <c r="G845">
        <v>903</v>
      </c>
      <c r="H845">
        <v>0</v>
      </c>
      <c r="I845">
        <v>0</v>
      </c>
      <c r="J845">
        <v>0</v>
      </c>
      <c r="K845">
        <v>1</v>
      </c>
      <c r="L845">
        <v>1</v>
      </c>
      <c r="M845">
        <v>42</v>
      </c>
      <c r="N845">
        <v>42</v>
      </c>
      <c r="O845">
        <v>6</v>
      </c>
      <c r="P845">
        <v>7</v>
      </c>
      <c r="Q845">
        <v>16</v>
      </c>
      <c r="R845">
        <v>16</v>
      </c>
      <c r="S845">
        <v>6</v>
      </c>
      <c r="T845">
        <v>30</v>
      </c>
      <c r="U845">
        <v>10</v>
      </c>
      <c r="V845">
        <v>4</v>
      </c>
      <c r="W845">
        <v>1</v>
      </c>
      <c r="X845">
        <v>1</v>
      </c>
      <c r="Y845">
        <v>0</v>
      </c>
      <c r="Z845">
        <v>0</v>
      </c>
      <c r="AA845">
        <v>0</v>
      </c>
      <c r="AB845">
        <v>6</v>
      </c>
      <c r="AC845">
        <v>16</v>
      </c>
      <c r="AD845">
        <v>6</v>
      </c>
      <c r="AE845">
        <v>7</v>
      </c>
      <c r="AF845">
        <v>1</v>
      </c>
      <c r="AG845">
        <v>16</v>
      </c>
      <c r="AH845">
        <v>30</v>
      </c>
      <c r="AI845">
        <v>4</v>
      </c>
      <c r="AJ845">
        <v>502</v>
      </c>
      <c r="AK845">
        <v>513</v>
      </c>
      <c r="AL845">
        <v>-1</v>
      </c>
      <c r="AM845">
        <v>-1</v>
      </c>
      <c r="AN845">
        <v>0</v>
      </c>
      <c r="AO845">
        <v>0</v>
      </c>
      <c r="AP845">
        <v>0</v>
      </c>
      <c r="AQ845">
        <v>0</v>
      </c>
      <c r="AR845">
        <f t="shared" si="2255"/>
        <v>0</v>
      </c>
      <c r="AS845">
        <f>IF(AND(IFERROR(VLOOKUP(AJ845,Equip!$A:$N,13,FALSE),0)&gt;=5,IFERROR(VLOOKUP(AJ845,Equip!$A:$N,13,FALSE),0)&lt;=9),INT(VLOOKUP(AJ845,Equip!$A:$N,6,FALSE)*SQRT(AN845)),0)</f>
        <v>0</v>
      </c>
      <c r="AT845">
        <f>IF(AND(IFERROR(VLOOKUP(AK845,Equip!$A:$N,13,FALSE),0)&gt;=5,IFERROR(VLOOKUP(AK845,Equip!$A:$N,13,FALSE),0)&lt;=9),INT(VLOOKUP(AK845,Equip!$A:$N,6,FALSE)*SQRT(AO845)),0)</f>
        <v>0</v>
      </c>
      <c r="AU845">
        <f>IF(AND(IFERROR(VLOOKUP(AL845,Equip!$A:$N,13,FALSE),0)&gt;=5,IFERROR(VLOOKUP(AL845,Equip!$A:$N,13,FALSE),0)&lt;=9),INT(VLOOKUP(AL845,Equip!$A:$N,6,FALSE)*SQRT(AP845)),0)</f>
        <v>0</v>
      </c>
      <c r="AV845">
        <f>IF(AND(IFERROR(VLOOKUP(AM845,Equip!$A:$N,13,FALSE),0)&gt;=5,IFERROR(VLOOKUP(AM845,Equip!$A:$N,13,FALSE),0)&lt;=9),INT(VLOOKUP(AM845,Equip!$A:$N,6,FALSE)*SQRT(AQ845)),0)</f>
        <v>0</v>
      </c>
      <c r="AW845">
        <f t="shared" si="2245"/>
        <v>0</v>
      </c>
      <c r="AX845">
        <f t="shared" si="2246"/>
        <v>127</v>
      </c>
    </row>
    <row r="846" spans="1:50">
      <c r="A846">
        <v>904</v>
      </c>
      <c r="B846" t="s">
        <v>1135</v>
      </c>
      <c r="C846" t="s">
        <v>1135</v>
      </c>
      <c r="D846">
        <v>0</v>
      </c>
      <c r="E846">
        <v>0</v>
      </c>
      <c r="F846">
        <v>0</v>
      </c>
      <c r="G846">
        <v>904</v>
      </c>
      <c r="H846">
        <v>0</v>
      </c>
      <c r="I846">
        <v>0</v>
      </c>
      <c r="J846">
        <v>0</v>
      </c>
      <c r="K846">
        <v>1</v>
      </c>
      <c r="L846">
        <v>1</v>
      </c>
      <c r="M846">
        <v>46</v>
      </c>
      <c r="N846">
        <v>46</v>
      </c>
      <c r="O846">
        <v>8</v>
      </c>
      <c r="P846">
        <v>9</v>
      </c>
      <c r="Q846">
        <v>24</v>
      </c>
      <c r="R846">
        <v>18</v>
      </c>
      <c r="S846">
        <v>8</v>
      </c>
      <c r="T846">
        <v>35</v>
      </c>
      <c r="U846">
        <v>10</v>
      </c>
      <c r="V846">
        <v>4</v>
      </c>
      <c r="W846">
        <v>1</v>
      </c>
      <c r="X846">
        <v>5</v>
      </c>
      <c r="Y846">
        <v>0</v>
      </c>
      <c r="Z846">
        <v>0</v>
      </c>
      <c r="AA846">
        <v>0</v>
      </c>
      <c r="AB846">
        <v>8</v>
      </c>
      <c r="AC846">
        <v>24</v>
      </c>
      <c r="AD846">
        <v>8</v>
      </c>
      <c r="AE846">
        <v>9</v>
      </c>
      <c r="AF846">
        <v>5</v>
      </c>
      <c r="AG846">
        <v>18</v>
      </c>
      <c r="AH846">
        <v>35</v>
      </c>
      <c r="AI846">
        <v>4</v>
      </c>
      <c r="AJ846">
        <v>502</v>
      </c>
      <c r="AK846">
        <v>513</v>
      </c>
      <c r="AL846">
        <v>-1</v>
      </c>
      <c r="AM846">
        <v>-1</v>
      </c>
      <c r="AN846">
        <v>0</v>
      </c>
      <c r="AO846">
        <v>0</v>
      </c>
      <c r="AP846">
        <v>0</v>
      </c>
      <c r="AQ846">
        <v>0</v>
      </c>
      <c r="AR846">
        <f t="shared" si="2255"/>
        <v>0</v>
      </c>
      <c r="AS846">
        <f>IF(AND(IFERROR(VLOOKUP(AJ846,Equip!$A:$N,13,FALSE),0)&gt;=5,IFERROR(VLOOKUP(AJ846,Equip!$A:$N,13,FALSE),0)&lt;=9),INT(VLOOKUP(AJ846,Equip!$A:$N,6,FALSE)*SQRT(AN846)),0)</f>
        <v>0</v>
      </c>
      <c r="AT846">
        <f>IF(AND(IFERROR(VLOOKUP(AK846,Equip!$A:$N,13,FALSE),0)&gt;=5,IFERROR(VLOOKUP(AK846,Equip!$A:$N,13,FALSE),0)&lt;=9),INT(VLOOKUP(AK846,Equip!$A:$N,6,FALSE)*SQRT(AO846)),0)</f>
        <v>0</v>
      </c>
      <c r="AU846">
        <f>IF(AND(IFERROR(VLOOKUP(AL846,Equip!$A:$N,13,FALSE),0)&gt;=5,IFERROR(VLOOKUP(AL846,Equip!$A:$N,13,FALSE),0)&lt;=9),INT(VLOOKUP(AL846,Equip!$A:$N,6,FALSE)*SQRT(AP846)),0)</f>
        <v>0</v>
      </c>
      <c r="AV846">
        <f>IF(AND(IFERROR(VLOOKUP(AM846,Equip!$A:$N,13,FALSE),0)&gt;=5,IFERROR(VLOOKUP(AM846,Equip!$A:$N,13,FALSE),0)&lt;=9),INT(VLOOKUP(AM846,Equip!$A:$N,6,FALSE)*SQRT(AQ846)),0)</f>
        <v>0</v>
      </c>
      <c r="AW846">
        <f t="shared" si="2245"/>
        <v>0</v>
      </c>
      <c r="AX846">
        <f t="shared" si="2246"/>
        <v>152</v>
      </c>
    </row>
    <row r="847" spans="1:50">
      <c r="A847">
        <v>905</v>
      </c>
      <c r="B847" t="s">
        <v>1136</v>
      </c>
      <c r="C847" t="s">
        <v>1136</v>
      </c>
      <c r="D847">
        <v>0</v>
      </c>
      <c r="E847">
        <v>0</v>
      </c>
      <c r="F847">
        <v>0</v>
      </c>
      <c r="G847">
        <v>905</v>
      </c>
      <c r="H847">
        <v>0</v>
      </c>
      <c r="I847">
        <v>0</v>
      </c>
      <c r="J847">
        <v>0</v>
      </c>
      <c r="K847">
        <v>2</v>
      </c>
      <c r="L847">
        <v>2</v>
      </c>
      <c r="M847">
        <v>51</v>
      </c>
      <c r="N847">
        <v>51</v>
      </c>
      <c r="O847">
        <v>14</v>
      </c>
      <c r="P847">
        <v>15</v>
      </c>
      <c r="Q847">
        <v>24</v>
      </c>
      <c r="R847">
        <v>15</v>
      </c>
      <c r="S847">
        <v>10</v>
      </c>
      <c r="T847">
        <v>30</v>
      </c>
      <c r="U847">
        <v>10</v>
      </c>
      <c r="V847">
        <v>6</v>
      </c>
      <c r="W847">
        <v>2</v>
      </c>
      <c r="X847">
        <v>1</v>
      </c>
      <c r="Y847">
        <v>0</v>
      </c>
      <c r="Z847">
        <v>0</v>
      </c>
      <c r="AA847">
        <v>0</v>
      </c>
      <c r="AB847">
        <v>14</v>
      </c>
      <c r="AC847">
        <v>24</v>
      </c>
      <c r="AD847">
        <v>10</v>
      </c>
      <c r="AE847">
        <v>15</v>
      </c>
      <c r="AF847">
        <v>1</v>
      </c>
      <c r="AG847">
        <v>15</v>
      </c>
      <c r="AH847">
        <v>30</v>
      </c>
      <c r="AI847">
        <v>6</v>
      </c>
      <c r="AJ847">
        <v>504</v>
      </c>
      <c r="AK847">
        <v>525</v>
      </c>
      <c r="AL847">
        <v>-1</v>
      </c>
      <c r="AM847">
        <v>-1</v>
      </c>
      <c r="AN847">
        <v>1</v>
      </c>
      <c r="AO847">
        <v>1</v>
      </c>
      <c r="AP847">
        <v>0</v>
      </c>
      <c r="AQ847">
        <v>0</v>
      </c>
      <c r="AR847">
        <f t="shared" si="2255"/>
        <v>2</v>
      </c>
      <c r="AS847">
        <f>IF(AND(IFERROR(VLOOKUP(AJ847,Equip!$A:$N,13,FALSE),0)&gt;=5,IFERROR(VLOOKUP(AJ847,Equip!$A:$N,13,FALSE),0)&lt;=9),INT(VLOOKUP(AJ847,Equip!$A:$N,6,FALSE)*SQRT(AN847)),0)</f>
        <v>0</v>
      </c>
      <c r="AT847">
        <f>IF(AND(IFERROR(VLOOKUP(AK847,Equip!$A:$N,13,FALSE),0)&gt;=5,IFERROR(VLOOKUP(AK847,Equip!$A:$N,13,FALSE),0)&lt;=9),INT(VLOOKUP(AK847,Equip!$A:$N,6,FALSE)*SQRT(AO847)),0)</f>
        <v>0</v>
      </c>
      <c r="AU847">
        <f>IF(AND(IFERROR(VLOOKUP(AL847,Equip!$A:$N,13,FALSE),0)&gt;=5,IFERROR(VLOOKUP(AL847,Equip!$A:$N,13,FALSE),0)&lt;=9),INT(VLOOKUP(AL847,Equip!$A:$N,6,FALSE)*SQRT(AP847)),0)</f>
        <v>0</v>
      </c>
      <c r="AV847">
        <f>IF(AND(IFERROR(VLOOKUP(AM847,Equip!$A:$N,13,FALSE),0)&gt;=5,IFERROR(VLOOKUP(AM847,Equip!$A:$N,13,FALSE),0)&lt;=9),INT(VLOOKUP(AM847,Equip!$A:$N,6,FALSE)*SQRT(AQ847)),0)</f>
        <v>0</v>
      </c>
      <c r="AW847">
        <f t="shared" si="2245"/>
        <v>0</v>
      </c>
      <c r="AX847">
        <f t="shared" si="2246"/>
        <v>165</v>
      </c>
    </row>
    <row r="848" spans="1:50">
      <c r="A848">
        <v>906</v>
      </c>
      <c r="B848" t="s">
        <v>1137</v>
      </c>
      <c r="C848" t="s">
        <v>1137</v>
      </c>
      <c r="D848">
        <v>0</v>
      </c>
      <c r="E848">
        <v>0</v>
      </c>
      <c r="F848">
        <v>0</v>
      </c>
      <c r="G848">
        <v>906</v>
      </c>
      <c r="H848">
        <v>0</v>
      </c>
      <c r="I848">
        <v>0</v>
      </c>
      <c r="J848">
        <v>0</v>
      </c>
      <c r="K848">
        <v>2</v>
      </c>
      <c r="L848">
        <v>2</v>
      </c>
      <c r="M848">
        <v>54</v>
      </c>
      <c r="N848">
        <v>54</v>
      </c>
      <c r="O848">
        <v>16</v>
      </c>
      <c r="P848">
        <v>18</v>
      </c>
      <c r="Q848">
        <v>28</v>
      </c>
      <c r="R848">
        <v>15</v>
      </c>
      <c r="S848">
        <v>12</v>
      </c>
      <c r="T848">
        <v>40</v>
      </c>
      <c r="U848">
        <v>10</v>
      </c>
      <c r="V848">
        <v>6</v>
      </c>
      <c r="W848">
        <v>2</v>
      </c>
      <c r="X848">
        <v>1</v>
      </c>
      <c r="Y848">
        <v>0</v>
      </c>
      <c r="Z848">
        <v>0</v>
      </c>
      <c r="AA848">
        <v>0</v>
      </c>
      <c r="AB848">
        <v>16</v>
      </c>
      <c r="AC848">
        <v>28</v>
      </c>
      <c r="AD848">
        <v>12</v>
      </c>
      <c r="AE848">
        <v>18</v>
      </c>
      <c r="AF848">
        <v>1</v>
      </c>
      <c r="AG848">
        <v>15</v>
      </c>
      <c r="AH848">
        <v>40</v>
      </c>
      <c r="AI848">
        <v>6</v>
      </c>
      <c r="AJ848">
        <v>506</v>
      </c>
      <c r="AK848">
        <v>525</v>
      </c>
      <c r="AL848">
        <v>-1</v>
      </c>
      <c r="AM848">
        <v>-1</v>
      </c>
      <c r="AN848">
        <v>1</v>
      </c>
      <c r="AO848">
        <v>1</v>
      </c>
      <c r="AP848">
        <v>0</v>
      </c>
      <c r="AQ848">
        <v>0</v>
      </c>
      <c r="AR848">
        <f t="shared" si="2255"/>
        <v>2</v>
      </c>
      <c r="AS848">
        <f>IF(AND(IFERROR(VLOOKUP(AJ848,Equip!$A:$N,13,FALSE),0)&gt;=5,IFERROR(VLOOKUP(AJ848,Equip!$A:$N,13,FALSE),0)&lt;=9),INT(VLOOKUP(AJ848,Equip!$A:$N,6,FALSE)*SQRT(AN848)),0)</f>
        <v>0</v>
      </c>
      <c r="AT848">
        <f>IF(AND(IFERROR(VLOOKUP(AK848,Equip!$A:$N,13,FALSE),0)&gt;=5,IFERROR(VLOOKUP(AK848,Equip!$A:$N,13,FALSE),0)&lt;=9),INT(VLOOKUP(AK848,Equip!$A:$N,6,FALSE)*SQRT(AO848)),0)</f>
        <v>0</v>
      </c>
      <c r="AU848">
        <f>IF(AND(IFERROR(VLOOKUP(AL848,Equip!$A:$N,13,FALSE),0)&gt;=5,IFERROR(VLOOKUP(AL848,Equip!$A:$N,13,FALSE),0)&lt;=9),INT(VLOOKUP(AL848,Equip!$A:$N,6,FALSE)*SQRT(AP848)),0)</f>
        <v>0</v>
      </c>
      <c r="AV848">
        <f>IF(AND(IFERROR(VLOOKUP(AM848,Equip!$A:$N,13,FALSE),0)&gt;=5,IFERROR(VLOOKUP(AM848,Equip!$A:$N,13,FALSE),0)&lt;=9),INT(VLOOKUP(AM848,Equip!$A:$N,6,FALSE)*SQRT(AQ848)),0)</f>
        <v>0</v>
      </c>
      <c r="AW848">
        <f t="shared" si="2245"/>
        <v>0</v>
      </c>
      <c r="AX848">
        <f t="shared" si="2246"/>
        <v>189</v>
      </c>
    </row>
    <row r="849" spans="1:50">
      <c r="A849">
        <v>907</v>
      </c>
      <c r="B849" t="s">
        <v>1138</v>
      </c>
      <c r="C849" t="s">
        <v>1138</v>
      </c>
      <c r="D849">
        <v>0</v>
      </c>
      <c r="E849">
        <v>0</v>
      </c>
      <c r="F849">
        <v>0</v>
      </c>
      <c r="G849">
        <v>907</v>
      </c>
      <c r="H849">
        <v>0</v>
      </c>
      <c r="I849">
        <v>0</v>
      </c>
      <c r="J849">
        <v>0</v>
      </c>
      <c r="K849">
        <v>2</v>
      </c>
      <c r="L849">
        <v>2</v>
      </c>
      <c r="M849">
        <v>57</v>
      </c>
      <c r="N849">
        <v>57</v>
      </c>
      <c r="O849">
        <v>24</v>
      </c>
      <c r="P849">
        <v>20</v>
      </c>
      <c r="Q849">
        <v>28</v>
      </c>
      <c r="R849">
        <v>15</v>
      </c>
      <c r="S849">
        <v>12</v>
      </c>
      <c r="T849">
        <v>50</v>
      </c>
      <c r="U849">
        <v>10</v>
      </c>
      <c r="V849">
        <v>6</v>
      </c>
      <c r="W849">
        <v>2</v>
      </c>
      <c r="X849">
        <v>5</v>
      </c>
      <c r="Y849">
        <v>0</v>
      </c>
      <c r="Z849">
        <v>0</v>
      </c>
      <c r="AA849">
        <v>0</v>
      </c>
      <c r="AB849">
        <v>24</v>
      </c>
      <c r="AC849">
        <v>28</v>
      </c>
      <c r="AD849">
        <v>12</v>
      </c>
      <c r="AE849">
        <v>20</v>
      </c>
      <c r="AF849">
        <v>5</v>
      </c>
      <c r="AG849">
        <v>15</v>
      </c>
      <c r="AH849">
        <v>50</v>
      </c>
      <c r="AI849">
        <v>6</v>
      </c>
      <c r="AJ849">
        <v>506</v>
      </c>
      <c r="AK849">
        <v>513</v>
      </c>
      <c r="AL849">
        <v>525</v>
      </c>
      <c r="AM849">
        <v>-1</v>
      </c>
      <c r="AN849">
        <v>2</v>
      </c>
      <c r="AO849">
        <v>2</v>
      </c>
      <c r="AP849">
        <v>2</v>
      </c>
      <c r="AQ849">
        <v>0</v>
      </c>
      <c r="AR849">
        <f t="shared" si="2255"/>
        <v>6</v>
      </c>
      <c r="AS849">
        <f>IF(AND(IFERROR(VLOOKUP(AJ849,Equip!$A:$N,13,FALSE),0)&gt;=5,IFERROR(VLOOKUP(AJ849,Equip!$A:$N,13,FALSE),0)&lt;=9),INT(VLOOKUP(AJ849,Equip!$A:$N,6,FALSE)*SQRT(AN849)),0)</f>
        <v>0</v>
      </c>
      <c r="AT849">
        <f>IF(AND(IFERROR(VLOOKUP(AK849,Equip!$A:$N,13,FALSE),0)&gt;=5,IFERROR(VLOOKUP(AK849,Equip!$A:$N,13,FALSE),0)&lt;=9),INT(VLOOKUP(AK849,Equip!$A:$N,6,FALSE)*SQRT(AO849)),0)</f>
        <v>0</v>
      </c>
      <c r="AU849">
        <f>IF(AND(IFERROR(VLOOKUP(AL849,Equip!$A:$N,13,FALSE),0)&gt;=5,IFERROR(VLOOKUP(AL849,Equip!$A:$N,13,FALSE),0)&lt;=9),INT(VLOOKUP(AL849,Equip!$A:$N,6,FALSE)*SQRT(AP849)),0)</f>
        <v>0</v>
      </c>
      <c r="AV849">
        <f>IF(AND(IFERROR(VLOOKUP(AM849,Equip!$A:$N,13,FALSE),0)&gt;=5,IFERROR(VLOOKUP(AM849,Equip!$A:$N,13,FALSE),0)&lt;=9),INT(VLOOKUP(AM849,Equip!$A:$N,6,FALSE)*SQRT(AQ849)),0)</f>
        <v>0</v>
      </c>
      <c r="AW849">
        <f t="shared" si="2245"/>
        <v>0</v>
      </c>
      <c r="AX849">
        <f t="shared" si="2246"/>
        <v>212</v>
      </c>
    </row>
    <row r="850" spans="1:50">
      <c r="A850">
        <v>908</v>
      </c>
      <c r="B850" t="s">
        <v>1139</v>
      </c>
      <c r="C850" t="s">
        <v>1139</v>
      </c>
      <c r="D850">
        <v>0</v>
      </c>
      <c r="E850">
        <v>0</v>
      </c>
      <c r="F850">
        <v>0</v>
      </c>
      <c r="G850">
        <v>908</v>
      </c>
      <c r="H850">
        <v>0</v>
      </c>
      <c r="I850">
        <v>0</v>
      </c>
      <c r="J850">
        <v>0</v>
      </c>
      <c r="K850">
        <v>4</v>
      </c>
      <c r="L850">
        <v>2</v>
      </c>
      <c r="M850">
        <v>65</v>
      </c>
      <c r="N850">
        <v>65</v>
      </c>
      <c r="O850">
        <v>18</v>
      </c>
      <c r="P850">
        <v>22</v>
      </c>
      <c r="Q850">
        <v>48</v>
      </c>
      <c r="R850">
        <v>18</v>
      </c>
      <c r="S850">
        <v>10</v>
      </c>
      <c r="T850">
        <v>30</v>
      </c>
      <c r="U850">
        <v>10</v>
      </c>
      <c r="V850">
        <v>4</v>
      </c>
      <c r="W850">
        <v>2</v>
      </c>
      <c r="X850">
        <v>5</v>
      </c>
      <c r="Y850">
        <v>0</v>
      </c>
      <c r="Z850">
        <v>0</v>
      </c>
      <c r="AA850">
        <v>0</v>
      </c>
      <c r="AB850">
        <v>18</v>
      </c>
      <c r="AC850">
        <v>48</v>
      </c>
      <c r="AD850">
        <v>10</v>
      </c>
      <c r="AE850">
        <v>22</v>
      </c>
      <c r="AF850">
        <v>5</v>
      </c>
      <c r="AG850">
        <v>18</v>
      </c>
      <c r="AH850">
        <v>30</v>
      </c>
      <c r="AI850">
        <v>4</v>
      </c>
      <c r="AJ850">
        <v>504</v>
      </c>
      <c r="AK850">
        <v>513</v>
      </c>
      <c r="AL850">
        <v>513</v>
      </c>
      <c r="AM850">
        <v>-1</v>
      </c>
      <c r="AN850">
        <v>2</v>
      </c>
      <c r="AO850">
        <v>2</v>
      </c>
      <c r="AP850">
        <v>2</v>
      </c>
      <c r="AQ850">
        <v>0</v>
      </c>
      <c r="AR850">
        <f t="shared" si="2255"/>
        <v>6</v>
      </c>
      <c r="AS850">
        <f>IF(AND(IFERROR(VLOOKUP(AJ850,Equip!$A:$N,13,FALSE),0)&gt;=5,IFERROR(VLOOKUP(AJ850,Equip!$A:$N,13,FALSE),0)&lt;=9),INT(VLOOKUP(AJ850,Equip!$A:$N,6,FALSE)*SQRT(AN850)),0)</f>
        <v>0</v>
      </c>
      <c r="AT850">
        <f>IF(AND(IFERROR(VLOOKUP(AK850,Equip!$A:$N,13,FALSE),0)&gt;=5,IFERROR(VLOOKUP(AK850,Equip!$A:$N,13,FALSE),0)&lt;=9),INT(VLOOKUP(AK850,Equip!$A:$N,6,FALSE)*SQRT(AO850)),0)</f>
        <v>0</v>
      </c>
      <c r="AU850">
        <f>IF(AND(IFERROR(VLOOKUP(AL850,Equip!$A:$N,13,FALSE),0)&gt;=5,IFERROR(VLOOKUP(AL850,Equip!$A:$N,13,FALSE),0)&lt;=9),INT(VLOOKUP(AL850,Equip!$A:$N,6,FALSE)*SQRT(AP850)),0)</f>
        <v>0</v>
      </c>
      <c r="AV850">
        <f>IF(AND(IFERROR(VLOOKUP(AM850,Equip!$A:$N,13,FALSE),0)&gt;=5,IFERROR(VLOOKUP(AM850,Equip!$A:$N,13,FALSE),0)&lt;=9),INT(VLOOKUP(AM850,Equip!$A:$N,6,FALSE)*SQRT(AQ850)),0)</f>
        <v>0</v>
      </c>
      <c r="AW850">
        <f t="shared" si="2245"/>
        <v>0</v>
      </c>
      <c r="AX850">
        <f t="shared" si="2246"/>
        <v>215</v>
      </c>
    </row>
    <row r="851" spans="1:50">
      <c r="A851">
        <v>909</v>
      </c>
      <c r="B851" t="s">
        <v>1140</v>
      </c>
      <c r="C851" t="s">
        <v>1140</v>
      </c>
      <c r="D851">
        <v>0</v>
      </c>
      <c r="E851">
        <v>0</v>
      </c>
      <c r="F851">
        <v>0</v>
      </c>
      <c r="G851">
        <v>909</v>
      </c>
      <c r="H851">
        <v>0</v>
      </c>
      <c r="I851">
        <v>0</v>
      </c>
      <c r="J851">
        <v>0</v>
      </c>
      <c r="K851">
        <v>3</v>
      </c>
      <c r="L851">
        <v>4</v>
      </c>
      <c r="M851">
        <v>75</v>
      </c>
      <c r="N851">
        <v>75</v>
      </c>
      <c r="O851">
        <v>32</v>
      </c>
      <c r="P851">
        <v>28</v>
      </c>
      <c r="Q851">
        <v>32</v>
      </c>
      <c r="R851">
        <v>12</v>
      </c>
      <c r="S851">
        <v>16</v>
      </c>
      <c r="T851">
        <v>0</v>
      </c>
      <c r="U851">
        <v>10</v>
      </c>
      <c r="V851">
        <v>10</v>
      </c>
      <c r="W851">
        <v>2</v>
      </c>
      <c r="X851">
        <v>1</v>
      </c>
      <c r="Y851">
        <v>0</v>
      </c>
      <c r="Z851">
        <v>0</v>
      </c>
      <c r="AA851">
        <v>0</v>
      </c>
      <c r="AB851">
        <v>32</v>
      </c>
      <c r="AC851">
        <v>32</v>
      </c>
      <c r="AD851">
        <v>16</v>
      </c>
      <c r="AE851">
        <v>28</v>
      </c>
      <c r="AF851">
        <v>1</v>
      </c>
      <c r="AG851">
        <v>12</v>
      </c>
      <c r="AH851">
        <v>0</v>
      </c>
      <c r="AI851">
        <v>10</v>
      </c>
      <c r="AJ851">
        <v>505</v>
      </c>
      <c r="AK851">
        <v>513</v>
      </c>
      <c r="AL851">
        <v>525</v>
      </c>
      <c r="AM851">
        <v>-1</v>
      </c>
      <c r="AN851">
        <v>3</v>
      </c>
      <c r="AO851">
        <v>3</v>
      </c>
      <c r="AP851">
        <v>3</v>
      </c>
      <c r="AQ851">
        <v>0</v>
      </c>
      <c r="AR851">
        <f t="shared" si="2255"/>
        <v>9</v>
      </c>
      <c r="AS851">
        <f>IF(AND(IFERROR(VLOOKUP(AJ851,Equip!$A:$N,13,FALSE),0)&gt;=5,IFERROR(VLOOKUP(AJ851,Equip!$A:$N,13,FALSE),0)&lt;=9),INT(VLOOKUP(AJ851,Equip!$A:$N,6,FALSE)*SQRT(AN851)),0)</f>
        <v>0</v>
      </c>
      <c r="AT851">
        <f>IF(AND(IFERROR(VLOOKUP(AK851,Equip!$A:$N,13,FALSE),0)&gt;=5,IFERROR(VLOOKUP(AK851,Equip!$A:$N,13,FALSE),0)&lt;=9),INT(VLOOKUP(AK851,Equip!$A:$N,6,FALSE)*SQRT(AO851)),0)</f>
        <v>0</v>
      </c>
      <c r="AU851">
        <f>IF(AND(IFERROR(VLOOKUP(AL851,Equip!$A:$N,13,FALSE),0)&gt;=5,IFERROR(VLOOKUP(AL851,Equip!$A:$N,13,FALSE),0)&lt;=9),INT(VLOOKUP(AL851,Equip!$A:$N,6,FALSE)*SQRT(AP851)),0)</f>
        <v>0</v>
      </c>
      <c r="AV851">
        <f>IF(AND(IFERROR(VLOOKUP(AM851,Equip!$A:$N,13,FALSE),0)&gt;=5,IFERROR(VLOOKUP(AM851,Equip!$A:$N,13,FALSE),0)&lt;=9),INT(VLOOKUP(AM851,Equip!$A:$N,6,FALSE)*SQRT(AQ851)),0)</f>
        <v>0</v>
      </c>
      <c r="AW851">
        <f t="shared" si="2245"/>
        <v>0</v>
      </c>
      <c r="AX851">
        <f t="shared" si="2246"/>
        <v>205</v>
      </c>
    </row>
    <row r="852" spans="1:50">
      <c r="A852">
        <v>910</v>
      </c>
      <c r="B852" t="s">
        <v>1141</v>
      </c>
      <c r="C852" t="s">
        <v>1141</v>
      </c>
      <c r="D852">
        <v>0</v>
      </c>
      <c r="E852">
        <v>0</v>
      </c>
      <c r="F852">
        <v>0</v>
      </c>
      <c r="G852">
        <v>910</v>
      </c>
      <c r="H852">
        <v>0</v>
      </c>
      <c r="I852">
        <v>0</v>
      </c>
      <c r="J852">
        <v>0</v>
      </c>
      <c r="K852">
        <v>9</v>
      </c>
      <c r="L852">
        <v>4</v>
      </c>
      <c r="M852">
        <v>82</v>
      </c>
      <c r="N852">
        <v>82</v>
      </c>
      <c r="O852">
        <v>0</v>
      </c>
      <c r="P852">
        <v>25</v>
      </c>
      <c r="Q852">
        <v>0</v>
      </c>
      <c r="R852">
        <v>3</v>
      </c>
      <c r="S852">
        <v>15</v>
      </c>
      <c r="T852">
        <v>0</v>
      </c>
      <c r="U852">
        <v>5</v>
      </c>
      <c r="V852">
        <v>30</v>
      </c>
      <c r="W852">
        <v>0</v>
      </c>
      <c r="X852">
        <v>1</v>
      </c>
      <c r="Y852">
        <v>0</v>
      </c>
      <c r="Z852">
        <v>0</v>
      </c>
      <c r="AA852">
        <v>0</v>
      </c>
      <c r="AB852">
        <v>0</v>
      </c>
      <c r="AC852">
        <v>0</v>
      </c>
      <c r="AD852">
        <v>15</v>
      </c>
      <c r="AE852">
        <v>25</v>
      </c>
      <c r="AF852">
        <v>1</v>
      </c>
      <c r="AG852">
        <v>3</v>
      </c>
      <c r="AH852">
        <v>0</v>
      </c>
      <c r="AI852">
        <v>30</v>
      </c>
      <c r="AJ852">
        <v>519</v>
      </c>
      <c r="AK852">
        <v>523</v>
      </c>
      <c r="AL852">
        <v>516</v>
      </c>
      <c r="AM852">
        <v>-1</v>
      </c>
      <c r="AN852">
        <v>18</v>
      </c>
      <c r="AO852">
        <v>18</v>
      </c>
      <c r="AP852">
        <v>18</v>
      </c>
      <c r="AQ852">
        <v>0</v>
      </c>
      <c r="AR852">
        <f t="shared" si="2255"/>
        <v>54</v>
      </c>
      <c r="AS852">
        <f>IF(AND(IFERROR(VLOOKUP(AJ852,Equip!$A:$N,13,FALSE),0)&gt;=5,IFERROR(VLOOKUP(AJ852,Equip!$A:$N,13,FALSE),0)&lt;=9),INT(VLOOKUP(AJ852,Equip!$A:$N,6,FALSE)*SQRT(AN852)),0)</f>
        <v>0</v>
      </c>
      <c r="AT852">
        <f>IF(AND(IFERROR(VLOOKUP(AK852,Equip!$A:$N,13,FALSE),0)&gt;=5,IFERROR(VLOOKUP(AK852,Equip!$A:$N,13,FALSE),0)&lt;=9),INT(VLOOKUP(AK852,Equip!$A:$N,6,FALSE)*SQRT(AO852)),0)</f>
        <v>0</v>
      </c>
      <c r="AU852">
        <f>IF(AND(IFERROR(VLOOKUP(AL852,Equip!$A:$N,13,FALSE),0)&gt;=5,IFERROR(VLOOKUP(AL852,Equip!$A:$N,13,FALSE),0)&lt;=9),INT(VLOOKUP(AL852,Equip!$A:$N,6,FALSE)*SQRT(AP852)),0)</f>
        <v>0</v>
      </c>
      <c r="AV852">
        <f>IF(AND(IFERROR(VLOOKUP(AM852,Equip!$A:$N,13,FALSE),0)&gt;=5,IFERROR(VLOOKUP(AM852,Equip!$A:$N,13,FALSE),0)&lt;=9),INT(VLOOKUP(AM852,Equip!$A:$N,6,FALSE)*SQRT(AQ852)),0)</f>
        <v>0</v>
      </c>
      <c r="AW852">
        <f t="shared" si="2245"/>
        <v>0</v>
      </c>
      <c r="AX852">
        <f t="shared" si="2246"/>
        <v>155</v>
      </c>
    </row>
    <row r="853" spans="1:50">
      <c r="A853">
        <v>911</v>
      </c>
      <c r="B853" t="s">
        <v>1142</v>
      </c>
      <c r="C853" t="s">
        <v>1142</v>
      </c>
      <c r="D853">
        <v>0</v>
      </c>
      <c r="E853">
        <v>0</v>
      </c>
      <c r="F853">
        <v>0</v>
      </c>
      <c r="G853">
        <v>911</v>
      </c>
      <c r="H853">
        <v>0</v>
      </c>
      <c r="I853">
        <v>0</v>
      </c>
      <c r="J853">
        <v>0</v>
      </c>
      <c r="K853">
        <v>8</v>
      </c>
      <c r="L853">
        <v>10</v>
      </c>
      <c r="M853">
        <v>106</v>
      </c>
      <c r="N853">
        <v>106</v>
      </c>
      <c r="O853">
        <v>65</v>
      </c>
      <c r="P853">
        <v>70</v>
      </c>
      <c r="Q853">
        <v>0</v>
      </c>
      <c r="R853">
        <v>3</v>
      </c>
      <c r="S853">
        <v>70</v>
      </c>
      <c r="T853">
        <v>0</v>
      </c>
      <c r="U853">
        <v>5</v>
      </c>
      <c r="V853">
        <v>20</v>
      </c>
      <c r="W853">
        <v>3</v>
      </c>
      <c r="X853">
        <v>5</v>
      </c>
      <c r="Y853">
        <v>0</v>
      </c>
      <c r="Z853">
        <v>0</v>
      </c>
      <c r="AA853">
        <v>0</v>
      </c>
      <c r="AB853">
        <v>65</v>
      </c>
      <c r="AC853">
        <v>0</v>
      </c>
      <c r="AD853">
        <v>70</v>
      </c>
      <c r="AE853">
        <v>70</v>
      </c>
      <c r="AF853">
        <v>5</v>
      </c>
      <c r="AG853">
        <v>3</v>
      </c>
      <c r="AH853">
        <v>0</v>
      </c>
      <c r="AI853">
        <v>20</v>
      </c>
      <c r="AJ853">
        <v>509</v>
      </c>
      <c r="AK853">
        <v>512</v>
      </c>
      <c r="AL853">
        <v>525</v>
      </c>
      <c r="AM853">
        <v>-1</v>
      </c>
      <c r="AN853">
        <v>3</v>
      </c>
      <c r="AO853">
        <v>3</v>
      </c>
      <c r="AP853">
        <v>3</v>
      </c>
      <c r="AQ853">
        <v>0</v>
      </c>
      <c r="AR853">
        <f t="shared" si="2255"/>
        <v>9</v>
      </c>
      <c r="AS853">
        <f>IF(AND(IFERROR(VLOOKUP(AJ853,Equip!$A:$N,13,FALSE),0)&gt;=5,IFERROR(VLOOKUP(AJ853,Equip!$A:$N,13,FALSE),0)&lt;=9),INT(VLOOKUP(AJ853,Equip!$A:$N,6,FALSE)*SQRT(AN853)),0)</f>
        <v>0</v>
      </c>
      <c r="AT853">
        <f>IF(AND(IFERROR(VLOOKUP(AK853,Equip!$A:$N,13,FALSE),0)&gt;=5,IFERROR(VLOOKUP(AK853,Equip!$A:$N,13,FALSE),0)&lt;=9),INT(VLOOKUP(AK853,Equip!$A:$N,6,FALSE)*SQRT(AO853)),0)</f>
        <v>0</v>
      </c>
      <c r="AU853">
        <f>IF(AND(IFERROR(VLOOKUP(AL853,Equip!$A:$N,13,FALSE),0)&gt;=5,IFERROR(VLOOKUP(AL853,Equip!$A:$N,13,FALSE),0)&lt;=9),INT(VLOOKUP(AL853,Equip!$A:$N,6,FALSE)*SQRT(AP853)),0)</f>
        <v>0</v>
      </c>
      <c r="AV853">
        <f>IF(AND(IFERROR(VLOOKUP(AM853,Equip!$A:$N,13,FALSE),0)&gt;=5,IFERROR(VLOOKUP(AM853,Equip!$A:$N,13,FALSE),0)&lt;=9),INT(VLOOKUP(AM853,Equip!$A:$N,6,FALSE)*SQRT(AQ853)),0)</f>
        <v>0</v>
      </c>
      <c r="AW853">
        <f t="shared" si="2245"/>
        <v>0</v>
      </c>
      <c r="AX853">
        <f t="shared" si="2246"/>
        <v>334</v>
      </c>
    </row>
    <row r="854" spans="1:50">
      <c r="A854">
        <v>912</v>
      </c>
      <c r="B854" t="s">
        <v>1143</v>
      </c>
      <c r="C854" t="s">
        <v>1143</v>
      </c>
      <c r="D854">
        <v>0</v>
      </c>
      <c r="E854">
        <v>0</v>
      </c>
      <c r="F854">
        <v>0</v>
      </c>
      <c r="G854">
        <v>912</v>
      </c>
      <c r="H854">
        <v>0</v>
      </c>
      <c r="I854">
        <v>0</v>
      </c>
      <c r="J854">
        <v>0</v>
      </c>
      <c r="K854">
        <v>12</v>
      </c>
      <c r="L854">
        <v>4</v>
      </c>
      <c r="M854">
        <v>101</v>
      </c>
      <c r="N854">
        <v>101</v>
      </c>
      <c r="O854">
        <v>0</v>
      </c>
      <c r="P854">
        <v>40</v>
      </c>
      <c r="Q854">
        <v>0</v>
      </c>
      <c r="R854">
        <v>3</v>
      </c>
      <c r="S854">
        <v>30</v>
      </c>
      <c r="T854">
        <v>0</v>
      </c>
      <c r="U854">
        <v>10</v>
      </c>
      <c r="V854">
        <v>40</v>
      </c>
      <c r="W854">
        <v>0</v>
      </c>
      <c r="X854">
        <v>1</v>
      </c>
      <c r="Y854">
        <v>0</v>
      </c>
      <c r="Z854">
        <v>0</v>
      </c>
      <c r="AA854">
        <v>0</v>
      </c>
      <c r="AB854">
        <v>0</v>
      </c>
      <c r="AC854">
        <v>0</v>
      </c>
      <c r="AD854">
        <v>30</v>
      </c>
      <c r="AE854">
        <v>40</v>
      </c>
      <c r="AF854">
        <v>1</v>
      </c>
      <c r="AG854">
        <v>3</v>
      </c>
      <c r="AH854">
        <v>0</v>
      </c>
      <c r="AI854">
        <v>40</v>
      </c>
      <c r="AJ854">
        <v>519</v>
      </c>
      <c r="AK854">
        <v>523</v>
      </c>
      <c r="AL854">
        <v>516</v>
      </c>
      <c r="AM854">
        <v>-1</v>
      </c>
      <c r="AN854">
        <v>27</v>
      </c>
      <c r="AO854">
        <v>27</v>
      </c>
      <c r="AP854">
        <v>27</v>
      </c>
      <c r="AQ854">
        <v>0</v>
      </c>
      <c r="AR854">
        <f t="shared" si="2255"/>
        <v>81</v>
      </c>
      <c r="AS854">
        <f>IF(AND(IFERROR(VLOOKUP(AJ854,Equip!$A:$N,13,FALSE),0)&gt;=5,IFERROR(VLOOKUP(AJ854,Equip!$A:$N,13,FALSE),0)&lt;=9),INT(VLOOKUP(AJ854,Equip!$A:$N,6,FALSE)*SQRT(AN854)),0)</f>
        <v>0</v>
      </c>
      <c r="AT854">
        <f>IF(AND(IFERROR(VLOOKUP(AK854,Equip!$A:$N,13,FALSE),0)&gt;=5,IFERROR(VLOOKUP(AK854,Equip!$A:$N,13,FALSE),0)&lt;=9),INT(VLOOKUP(AK854,Equip!$A:$N,6,FALSE)*SQRT(AO854)),0)</f>
        <v>0</v>
      </c>
      <c r="AU854">
        <f>IF(AND(IFERROR(VLOOKUP(AL854,Equip!$A:$N,13,FALSE),0)&gt;=5,IFERROR(VLOOKUP(AL854,Equip!$A:$N,13,FALSE),0)&lt;=9),INT(VLOOKUP(AL854,Equip!$A:$N,6,FALSE)*SQRT(AP854)),0)</f>
        <v>0</v>
      </c>
      <c r="AV854">
        <f>IF(AND(IFERROR(VLOOKUP(AM854,Equip!$A:$N,13,FALSE),0)&gt;=5,IFERROR(VLOOKUP(AM854,Equip!$A:$N,13,FALSE),0)&lt;=9),INT(VLOOKUP(AM854,Equip!$A:$N,6,FALSE)*SQRT(AQ854)),0)</f>
        <v>0</v>
      </c>
      <c r="AW854">
        <f t="shared" si="2245"/>
        <v>0</v>
      </c>
      <c r="AX854">
        <f t="shared" si="2246"/>
        <v>214</v>
      </c>
    </row>
    <row r="855" spans="1:50">
      <c r="A855">
        <v>913</v>
      </c>
      <c r="B855" t="s">
        <v>1144</v>
      </c>
      <c r="C855" t="s">
        <v>1144</v>
      </c>
      <c r="D855">
        <v>0</v>
      </c>
      <c r="E855">
        <v>0</v>
      </c>
      <c r="F855">
        <v>0</v>
      </c>
      <c r="G855">
        <v>913</v>
      </c>
      <c r="H855">
        <v>0</v>
      </c>
      <c r="I855">
        <v>0</v>
      </c>
      <c r="J855">
        <v>0</v>
      </c>
      <c r="K855">
        <v>18</v>
      </c>
      <c r="L855">
        <v>4</v>
      </c>
      <c r="M855">
        <v>87</v>
      </c>
      <c r="N855">
        <v>87</v>
      </c>
      <c r="O855">
        <v>0</v>
      </c>
      <c r="P855">
        <v>10</v>
      </c>
      <c r="Q855">
        <v>0</v>
      </c>
      <c r="R855">
        <v>1</v>
      </c>
      <c r="S855">
        <v>0</v>
      </c>
      <c r="T855">
        <v>0</v>
      </c>
      <c r="U855">
        <v>5</v>
      </c>
      <c r="V855">
        <v>0</v>
      </c>
      <c r="W855">
        <v>0</v>
      </c>
      <c r="X855">
        <v>1</v>
      </c>
      <c r="Y855">
        <v>0</v>
      </c>
      <c r="Z855">
        <v>0</v>
      </c>
      <c r="AA855">
        <v>0</v>
      </c>
      <c r="AB855">
        <v>0</v>
      </c>
      <c r="AC855">
        <v>0</v>
      </c>
      <c r="AD855">
        <v>0</v>
      </c>
      <c r="AE855">
        <v>10</v>
      </c>
      <c r="AF855">
        <v>1</v>
      </c>
      <c r="AG855">
        <v>1</v>
      </c>
      <c r="AH855">
        <v>0</v>
      </c>
      <c r="AI855">
        <v>0</v>
      </c>
      <c r="AJ855">
        <v>0</v>
      </c>
      <c r="AK855">
        <v>0</v>
      </c>
      <c r="AL855">
        <v>0</v>
      </c>
      <c r="AM855">
        <v>-1</v>
      </c>
      <c r="AN855">
        <v>0</v>
      </c>
      <c r="AO855">
        <v>0</v>
      </c>
      <c r="AP855">
        <v>0</v>
      </c>
      <c r="AQ855">
        <v>0</v>
      </c>
      <c r="AR855">
        <f t="shared" si="2255"/>
        <v>0</v>
      </c>
      <c r="AS855">
        <f>IF(AND(IFERROR(VLOOKUP(AJ855,Equip!$A:$N,13,FALSE),0)&gt;=5,IFERROR(VLOOKUP(AJ855,Equip!$A:$N,13,FALSE),0)&lt;=9),INT(VLOOKUP(AJ855,Equip!$A:$N,6,FALSE)*SQRT(AN855)),0)</f>
        <v>0</v>
      </c>
      <c r="AT855">
        <f>IF(AND(IFERROR(VLOOKUP(AK855,Equip!$A:$N,13,FALSE),0)&gt;=5,IFERROR(VLOOKUP(AK855,Equip!$A:$N,13,FALSE),0)&lt;=9),INT(VLOOKUP(AK855,Equip!$A:$N,6,FALSE)*SQRT(AO855)),0)</f>
        <v>0</v>
      </c>
      <c r="AU855">
        <f>IF(AND(IFERROR(VLOOKUP(AL855,Equip!$A:$N,13,FALSE),0)&gt;=5,IFERROR(VLOOKUP(AL855,Equip!$A:$N,13,FALSE),0)&lt;=9),INT(VLOOKUP(AL855,Equip!$A:$N,6,FALSE)*SQRT(AP855)),0)</f>
        <v>0</v>
      </c>
      <c r="AV855">
        <f>IF(AND(IFERROR(VLOOKUP(AM855,Equip!$A:$N,13,FALSE),0)&gt;=5,IFERROR(VLOOKUP(AM855,Equip!$A:$N,13,FALSE),0)&lt;=9),INT(VLOOKUP(AM855,Equip!$A:$N,6,FALSE)*SQRT(AQ855)),0)</f>
        <v>0</v>
      </c>
      <c r="AW855">
        <f t="shared" si="2245"/>
        <v>0</v>
      </c>
      <c r="AX855">
        <f t="shared" si="2246"/>
        <v>98</v>
      </c>
    </row>
    <row r="856" spans="1:50">
      <c r="A856">
        <v>914</v>
      </c>
      <c r="B856" t="s">
        <v>1145</v>
      </c>
      <c r="C856" t="s">
        <v>1145</v>
      </c>
      <c r="D856">
        <v>0</v>
      </c>
      <c r="E856">
        <v>0</v>
      </c>
      <c r="F856">
        <v>0</v>
      </c>
      <c r="G856">
        <v>901</v>
      </c>
      <c r="H856">
        <v>0</v>
      </c>
      <c r="I856">
        <v>0</v>
      </c>
      <c r="J856">
        <v>0</v>
      </c>
      <c r="K856">
        <v>1</v>
      </c>
      <c r="L856">
        <v>1</v>
      </c>
      <c r="M856">
        <v>48</v>
      </c>
      <c r="N856">
        <v>48</v>
      </c>
      <c r="O856">
        <v>15</v>
      </c>
      <c r="P856">
        <v>12</v>
      </c>
      <c r="Q856">
        <v>32</v>
      </c>
      <c r="R856">
        <v>30</v>
      </c>
      <c r="S856">
        <v>10</v>
      </c>
      <c r="T856">
        <v>35</v>
      </c>
      <c r="U856">
        <v>10</v>
      </c>
      <c r="V856">
        <v>6</v>
      </c>
      <c r="W856">
        <v>1</v>
      </c>
      <c r="X856">
        <v>10</v>
      </c>
      <c r="Y856">
        <v>0</v>
      </c>
      <c r="Z856">
        <v>0</v>
      </c>
      <c r="AA856">
        <v>0</v>
      </c>
      <c r="AB856">
        <v>15</v>
      </c>
      <c r="AC856">
        <v>32</v>
      </c>
      <c r="AD856">
        <v>10</v>
      </c>
      <c r="AE856">
        <v>12</v>
      </c>
      <c r="AF856">
        <v>10</v>
      </c>
      <c r="AG856">
        <v>30</v>
      </c>
      <c r="AH856">
        <v>35</v>
      </c>
      <c r="AI856">
        <v>6</v>
      </c>
      <c r="AJ856">
        <v>501</v>
      </c>
      <c r="AK856">
        <v>514</v>
      </c>
      <c r="AL856">
        <v>-1</v>
      </c>
      <c r="AM856">
        <v>-1</v>
      </c>
      <c r="AN856">
        <v>0</v>
      </c>
      <c r="AO856">
        <v>0</v>
      </c>
      <c r="AP856">
        <v>0</v>
      </c>
      <c r="AQ856">
        <v>0</v>
      </c>
      <c r="AR856">
        <f t="shared" si="2255"/>
        <v>0</v>
      </c>
      <c r="AS856">
        <f>IF(AND(IFERROR(VLOOKUP(AJ856,Equip!$A:$N,13,FALSE),0)&gt;=5,IFERROR(VLOOKUP(AJ856,Equip!$A:$N,13,FALSE),0)&lt;=9),INT(VLOOKUP(AJ856,Equip!$A:$N,6,FALSE)*SQRT(AN856)),0)</f>
        <v>0</v>
      </c>
      <c r="AT856">
        <f>IF(AND(IFERROR(VLOOKUP(AK856,Equip!$A:$N,13,FALSE),0)&gt;=5,IFERROR(VLOOKUP(AK856,Equip!$A:$N,13,FALSE),0)&lt;=9),INT(VLOOKUP(AK856,Equip!$A:$N,6,FALSE)*SQRT(AO856)),0)</f>
        <v>0</v>
      </c>
      <c r="AU856">
        <f>IF(AND(IFERROR(VLOOKUP(AL856,Equip!$A:$N,13,FALSE),0)&gt;=5,IFERROR(VLOOKUP(AL856,Equip!$A:$N,13,FALSE),0)&lt;=9),INT(VLOOKUP(AL856,Equip!$A:$N,6,FALSE)*SQRT(AP856)),0)</f>
        <v>0</v>
      </c>
      <c r="AV856">
        <f>IF(AND(IFERROR(VLOOKUP(AM856,Equip!$A:$N,13,FALSE),0)&gt;=5,IFERROR(VLOOKUP(AM856,Equip!$A:$N,13,FALSE),0)&lt;=9),INT(VLOOKUP(AM856,Equip!$A:$N,6,FALSE)*SQRT(AQ856)),0)</f>
        <v>0</v>
      </c>
      <c r="AW856">
        <f t="shared" si="2245"/>
        <v>0</v>
      </c>
      <c r="AX856">
        <f t="shared" si="2246"/>
        <v>188</v>
      </c>
    </row>
    <row r="857" spans="1:50">
      <c r="A857">
        <v>915</v>
      </c>
      <c r="B857" t="s">
        <v>1146</v>
      </c>
      <c r="C857" t="s">
        <v>1146</v>
      </c>
      <c r="D857">
        <v>0</v>
      </c>
      <c r="E857">
        <v>0</v>
      </c>
      <c r="F857">
        <v>0</v>
      </c>
      <c r="G857">
        <v>902</v>
      </c>
      <c r="H857">
        <v>0</v>
      </c>
      <c r="I857">
        <v>0</v>
      </c>
      <c r="J857">
        <v>0</v>
      </c>
      <c r="K857">
        <v>1</v>
      </c>
      <c r="L857">
        <v>1</v>
      </c>
      <c r="M857">
        <v>53</v>
      </c>
      <c r="N857">
        <v>53</v>
      </c>
      <c r="O857">
        <v>20</v>
      </c>
      <c r="P857">
        <v>14</v>
      </c>
      <c r="Q857">
        <v>32</v>
      </c>
      <c r="R857">
        <v>30</v>
      </c>
      <c r="S857">
        <v>12</v>
      </c>
      <c r="T857">
        <v>35</v>
      </c>
      <c r="U857">
        <v>10</v>
      </c>
      <c r="V857">
        <v>6</v>
      </c>
      <c r="W857">
        <v>1</v>
      </c>
      <c r="X857">
        <v>10</v>
      </c>
      <c r="Y857">
        <v>0</v>
      </c>
      <c r="Z857">
        <v>0</v>
      </c>
      <c r="AA857">
        <v>0</v>
      </c>
      <c r="AB857">
        <v>20</v>
      </c>
      <c r="AC857">
        <v>32</v>
      </c>
      <c r="AD857">
        <v>12</v>
      </c>
      <c r="AE857">
        <v>14</v>
      </c>
      <c r="AF857">
        <v>10</v>
      </c>
      <c r="AG857">
        <v>30</v>
      </c>
      <c r="AH857">
        <v>35</v>
      </c>
      <c r="AI857">
        <v>6</v>
      </c>
      <c r="AJ857">
        <v>502</v>
      </c>
      <c r="AK857">
        <v>514</v>
      </c>
      <c r="AL857">
        <v>-1</v>
      </c>
      <c r="AM857">
        <v>-1</v>
      </c>
      <c r="AN857">
        <v>0</v>
      </c>
      <c r="AO857">
        <v>0</v>
      </c>
      <c r="AP857">
        <v>0</v>
      </c>
      <c r="AQ857">
        <v>0</v>
      </c>
      <c r="AR857">
        <f t="shared" si="2255"/>
        <v>0</v>
      </c>
      <c r="AS857">
        <f>IF(AND(IFERROR(VLOOKUP(AJ857,Equip!$A:$N,13,FALSE),0)&gt;=5,IFERROR(VLOOKUP(AJ857,Equip!$A:$N,13,FALSE),0)&lt;=9),INT(VLOOKUP(AJ857,Equip!$A:$N,6,FALSE)*SQRT(AN857)),0)</f>
        <v>0</v>
      </c>
      <c r="AT857">
        <f>IF(AND(IFERROR(VLOOKUP(AK857,Equip!$A:$N,13,FALSE),0)&gt;=5,IFERROR(VLOOKUP(AK857,Equip!$A:$N,13,FALSE),0)&lt;=9),INT(VLOOKUP(AK857,Equip!$A:$N,6,FALSE)*SQRT(AO857)),0)</f>
        <v>0</v>
      </c>
      <c r="AU857">
        <f>IF(AND(IFERROR(VLOOKUP(AL857,Equip!$A:$N,13,FALSE),0)&gt;=5,IFERROR(VLOOKUP(AL857,Equip!$A:$N,13,FALSE),0)&lt;=9),INT(VLOOKUP(AL857,Equip!$A:$N,6,FALSE)*SQRT(AP857)),0)</f>
        <v>0</v>
      </c>
      <c r="AV857">
        <f>IF(AND(IFERROR(VLOOKUP(AM857,Equip!$A:$N,13,FALSE),0)&gt;=5,IFERROR(VLOOKUP(AM857,Equip!$A:$N,13,FALSE),0)&lt;=9),INT(VLOOKUP(AM857,Equip!$A:$N,6,FALSE)*SQRT(AQ857)),0)</f>
        <v>0</v>
      </c>
      <c r="AW857">
        <f t="shared" si="2245"/>
        <v>0</v>
      </c>
      <c r="AX857">
        <f t="shared" si="2246"/>
        <v>202</v>
      </c>
    </row>
    <row r="858" spans="1:50">
      <c r="A858">
        <v>916</v>
      </c>
      <c r="B858" t="s">
        <v>1147</v>
      </c>
      <c r="C858" t="s">
        <v>1147</v>
      </c>
      <c r="D858">
        <v>0</v>
      </c>
      <c r="E858">
        <v>0</v>
      </c>
      <c r="F858">
        <v>0</v>
      </c>
      <c r="G858">
        <v>903</v>
      </c>
      <c r="H858">
        <v>0</v>
      </c>
      <c r="I858">
        <v>0</v>
      </c>
      <c r="J858">
        <v>0</v>
      </c>
      <c r="K858">
        <v>1</v>
      </c>
      <c r="L858">
        <v>1</v>
      </c>
      <c r="M858">
        <v>58</v>
      </c>
      <c r="N858">
        <v>58</v>
      </c>
      <c r="O858">
        <v>15</v>
      </c>
      <c r="P858">
        <v>16</v>
      </c>
      <c r="Q858">
        <v>32</v>
      </c>
      <c r="R858">
        <v>35</v>
      </c>
      <c r="S858">
        <v>14</v>
      </c>
      <c r="T858">
        <v>40</v>
      </c>
      <c r="U858">
        <v>10</v>
      </c>
      <c r="V858">
        <v>7</v>
      </c>
      <c r="W858">
        <v>1</v>
      </c>
      <c r="X858">
        <v>10</v>
      </c>
      <c r="Y858">
        <v>0</v>
      </c>
      <c r="Z858">
        <v>0</v>
      </c>
      <c r="AA858">
        <v>0</v>
      </c>
      <c r="AB858">
        <v>15</v>
      </c>
      <c r="AC858">
        <v>32</v>
      </c>
      <c r="AD858">
        <v>14</v>
      </c>
      <c r="AE858">
        <v>16</v>
      </c>
      <c r="AF858">
        <v>10</v>
      </c>
      <c r="AG858">
        <v>35</v>
      </c>
      <c r="AH858">
        <v>40</v>
      </c>
      <c r="AI858">
        <v>7</v>
      </c>
      <c r="AJ858">
        <v>502</v>
      </c>
      <c r="AK858">
        <v>515</v>
      </c>
      <c r="AL858">
        <v>-1</v>
      </c>
      <c r="AM858">
        <v>-1</v>
      </c>
      <c r="AN858">
        <v>0</v>
      </c>
      <c r="AO858">
        <v>0</v>
      </c>
      <c r="AP858">
        <v>0</v>
      </c>
      <c r="AQ858">
        <v>0</v>
      </c>
      <c r="AR858">
        <f t="shared" si="2255"/>
        <v>0</v>
      </c>
      <c r="AS858">
        <f>IF(AND(IFERROR(VLOOKUP(AJ858,Equip!$A:$N,13,FALSE),0)&gt;=5,IFERROR(VLOOKUP(AJ858,Equip!$A:$N,13,FALSE),0)&lt;=9),INT(VLOOKUP(AJ858,Equip!$A:$N,6,FALSE)*SQRT(AN858)),0)</f>
        <v>0</v>
      </c>
      <c r="AT858">
        <f>IF(AND(IFERROR(VLOOKUP(AK858,Equip!$A:$N,13,FALSE),0)&gt;=5,IFERROR(VLOOKUP(AK858,Equip!$A:$N,13,FALSE),0)&lt;=9),INT(VLOOKUP(AK858,Equip!$A:$N,6,FALSE)*SQRT(AO858)),0)</f>
        <v>0</v>
      </c>
      <c r="AU858">
        <f>IF(AND(IFERROR(VLOOKUP(AL858,Equip!$A:$N,13,FALSE),0)&gt;=5,IFERROR(VLOOKUP(AL858,Equip!$A:$N,13,FALSE),0)&lt;=9),INT(VLOOKUP(AL858,Equip!$A:$N,6,FALSE)*SQRT(AP858)),0)</f>
        <v>0</v>
      </c>
      <c r="AV858">
        <f>IF(AND(IFERROR(VLOOKUP(AM858,Equip!$A:$N,13,FALSE),0)&gt;=5,IFERROR(VLOOKUP(AM858,Equip!$A:$N,13,FALSE),0)&lt;=9),INT(VLOOKUP(AM858,Equip!$A:$N,6,FALSE)*SQRT(AQ858)),0)</f>
        <v>0</v>
      </c>
      <c r="AW858">
        <f t="shared" si="2245"/>
        <v>0</v>
      </c>
      <c r="AX858">
        <f t="shared" si="2246"/>
        <v>217</v>
      </c>
    </row>
    <row r="859" spans="1:50">
      <c r="A859">
        <v>917</v>
      </c>
      <c r="B859" t="s">
        <v>1148</v>
      </c>
      <c r="C859" t="s">
        <v>1148</v>
      </c>
      <c r="D859">
        <v>0</v>
      </c>
      <c r="E859">
        <v>0</v>
      </c>
      <c r="F859">
        <v>0</v>
      </c>
      <c r="G859">
        <v>904</v>
      </c>
      <c r="H859">
        <v>0</v>
      </c>
      <c r="I859">
        <v>0</v>
      </c>
      <c r="J859">
        <v>0</v>
      </c>
      <c r="K859">
        <v>1</v>
      </c>
      <c r="L859">
        <v>1</v>
      </c>
      <c r="M859">
        <v>63</v>
      </c>
      <c r="N859">
        <v>63</v>
      </c>
      <c r="O859">
        <v>20</v>
      </c>
      <c r="P859">
        <v>18</v>
      </c>
      <c r="Q859">
        <v>40</v>
      </c>
      <c r="R859">
        <v>40</v>
      </c>
      <c r="S859">
        <v>18</v>
      </c>
      <c r="T859">
        <v>45</v>
      </c>
      <c r="U859">
        <v>10</v>
      </c>
      <c r="V859">
        <v>7</v>
      </c>
      <c r="W859">
        <v>1</v>
      </c>
      <c r="X859">
        <v>10</v>
      </c>
      <c r="Y859">
        <v>0</v>
      </c>
      <c r="Z859">
        <v>0</v>
      </c>
      <c r="AA859">
        <v>0</v>
      </c>
      <c r="AB859">
        <v>20</v>
      </c>
      <c r="AC859">
        <v>40</v>
      </c>
      <c r="AD859">
        <v>18</v>
      </c>
      <c r="AE859">
        <v>18</v>
      </c>
      <c r="AF859">
        <v>10</v>
      </c>
      <c r="AG859">
        <v>40</v>
      </c>
      <c r="AH859">
        <v>45</v>
      </c>
      <c r="AI859">
        <v>7</v>
      </c>
      <c r="AJ859">
        <v>502</v>
      </c>
      <c r="AK859">
        <v>515</v>
      </c>
      <c r="AL859">
        <v>-1</v>
      </c>
      <c r="AM859">
        <v>-1</v>
      </c>
      <c r="AN859">
        <v>0</v>
      </c>
      <c r="AO859">
        <v>0</v>
      </c>
      <c r="AP859">
        <v>0</v>
      </c>
      <c r="AQ859">
        <v>0</v>
      </c>
      <c r="AR859">
        <f t="shared" si="2255"/>
        <v>0</v>
      </c>
      <c r="AS859">
        <f>IF(AND(IFERROR(VLOOKUP(AJ859,Equip!$A:$N,13,FALSE),0)&gt;=5,IFERROR(VLOOKUP(AJ859,Equip!$A:$N,13,FALSE),0)&lt;=9),INT(VLOOKUP(AJ859,Equip!$A:$N,6,FALSE)*SQRT(AN859)),0)</f>
        <v>0</v>
      </c>
      <c r="AT859">
        <f>IF(AND(IFERROR(VLOOKUP(AK859,Equip!$A:$N,13,FALSE),0)&gt;=5,IFERROR(VLOOKUP(AK859,Equip!$A:$N,13,FALSE),0)&lt;=9),INT(VLOOKUP(AK859,Equip!$A:$N,6,FALSE)*SQRT(AO859)),0)</f>
        <v>0</v>
      </c>
      <c r="AU859">
        <f>IF(AND(IFERROR(VLOOKUP(AL859,Equip!$A:$N,13,FALSE),0)&gt;=5,IFERROR(VLOOKUP(AL859,Equip!$A:$N,13,FALSE),0)&lt;=9),INT(VLOOKUP(AL859,Equip!$A:$N,6,FALSE)*SQRT(AP859)),0)</f>
        <v>0</v>
      </c>
      <c r="AV859">
        <f>IF(AND(IFERROR(VLOOKUP(AM859,Equip!$A:$N,13,FALSE),0)&gt;=5,IFERROR(VLOOKUP(AM859,Equip!$A:$N,13,FALSE),0)&lt;=9),INT(VLOOKUP(AM859,Equip!$A:$N,6,FALSE)*SQRT(AQ859)),0)</f>
        <v>0</v>
      </c>
      <c r="AW859">
        <f t="shared" si="2245"/>
        <v>0</v>
      </c>
      <c r="AX859">
        <f t="shared" si="2246"/>
        <v>251</v>
      </c>
    </row>
    <row r="860" spans="1:50">
      <c r="A860">
        <v>918</v>
      </c>
      <c r="B860" t="s">
        <v>1149</v>
      </c>
      <c r="C860" t="s">
        <v>1149</v>
      </c>
      <c r="D860">
        <v>0</v>
      </c>
      <c r="E860">
        <v>0</v>
      </c>
      <c r="F860">
        <v>0</v>
      </c>
      <c r="G860">
        <v>905</v>
      </c>
      <c r="H860">
        <v>0</v>
      </c>
      <c r="I860">
        <v>0</v>
      </c>
      <c r="J860">
        <v>0</v>
      </c>
      <c r="K860">
        <v>2</v>
      </c>
      <c r="L860">
        <v>2</v>
      </c>
      <c r="M860">
        <v>65</v>
      </c>
      <c r="N860">
        <v>65</v>
      </c>
      <c r="O860">
        <v>30</v>
      </c>
      <c r="P860">
        <v>30</v>
      </c>
      <c r="Q860">
        <v>40</v>
      </c>
      <c r="R860">
        <v>24</v>
      </c>
      <c r="S860">
        <v>20</v>
      </c>
      <c r="T860">
        <v>40</v>
      </c>
      <c r="U860">
        <v>10</v>
      </c>
      <c r="V860">
        <v>6</v>
      </c>
      <c r="W860">
        <v>2</v>
      </c>
      <c r="X860">
        <v>10</v>
      </c>
      <c r="Y860">
        <v>0</v>
      </c>
      <c r="Z860">
        <v>0</v>
      </c>
      <c r="AA860">
        <v>0</v>
      </c>
      <c r="AB860">
        <v>30</v>
      </c>
      <c r="AC860">
        <v>40</v>
      </c>
      <c r="AD860">
        <v>20</v>
      </c>
      <c r="AE860">
        <v>30</v>
      </c>
      <c r="AF860">
        <v>10</v>
      </c>
      <c r="AG860">
        <v>24</v>
      </c>
      <c r="AH860">
        <v>40</v>
      </c>
      <c r="AI860">
        <v>6</v>
      </c>
      <c r="AJ860">
        <v>504</v>
      </c>
      <c r="AK860">
        <v>525</v>
      </c>
      <c r="AL860">
        <v>-1</v>
      </c>
      <c r="AM860">
        <v>-1</v>
      </c>
      <c r="AN860">
        <v>1</v>
      </c>
      <c r="AO860">
        <v>1</v>
      </c>
      <c r="AP860">
        <v>0</v>
      </c>
      <c r="AQ860">
        <v>0</v>
      </c>
      <c r="AR860">
        <f t="shared" si="2255"/>
        <v>2</v>
      </c>
      <c r="AS860">
        <f>IF(AND(IFERROR(VLOOKUP(AJ860,Equip!$A:$N,13,FALSE),0)&gt;=5,IFERROR(VLOOKUP(AJ860,Equip!$A:$N,13,FALSE),0)&lt;=9),INT(VLOOKUP(AJ860,Equip!$A:$N,6,FALSE)*SQRT(AN860)),0)</f>
        <v>0</v>
      </c>
      <c r="AT860">
        <f>IF(AND(IFERROR(VLOOKUP(AK860,Equip!$A:$N,13,FALSE),0)&gt;=5,IFERROR(VLOOKUP(AK860,Equip!$A:$N,13,FALSE),0)&lt;=9),INT(VLOOKUP(AK860,Equip!$A:$N,6,FALSE)*SQRT(AO860)),0)</f>
        <v>0</v>
      </c>
      <c r="AU860">
        <f>IF(AND(IFERROR(VLOOKUP(AL860,Equip!$A:$N,13,FALSE),0)&gt;=5,IFERROR(VLOOKUP(AL860,Equip!$A:$N,13,FALSE),0)&lt;=9),INT(VLOOKUP(AL860,Equip!$A:$N,6,FALSE)*SQRT(AP860)),0)</f>
        <v>0</v>
      </c>
      <c r="AV860">
        <f>IF(AND(IFERROR(VLOOKUP(AM860,Equip!$A:$N,13,FALSE),0)&gt;=5,IFERROR(VLOOKUP(AM860,Equip!$A:$N,13,FALSE),0)&lt;=9),INT(VLOOKUP(AM860,Equip!$A:$N,6,FALSE)*SQRT(AQ860)),0)</f>
        <v>0</v>
      </c>
      <c r="AW860">
        <f t="shared" si="2245"/>
        <v>0</v>
      </c>
      <c r="AX860">
        <f t="shared" si="2246"/>
        <v>255</v>
      </c>
    </row>
    <row r="861" spans="1:50">
      <c r="A861">
        <v>919</v>
      </c>
      <c r="B861" t="s">
        <v>1150</v>
      </c>
      <c r="C861" t="s">
        <v>1150</v>
      </c>
      <c r="D861">
        <v>0</v>
      </c>
      <c r="E861">
        <v>0</v>
      </c>
      <c r="F861">
        <v>0</v>
      </c>
      <c r="G861">
        <v>906</v>
      </c>
      <c r="H861">
        <v>0</v>
      </c>
      <c r="I861">
        <v>0</v>
      </c>
      <c r="J861">
        <v>0</v>
      </c>
      <c r="K861">
        <v>2</v>
      </c>
      <c r="L861">
        <v>2</v>
      </c>
      <c r="M861">
        <v>69</v>
      </c>
      <c r="N861">
        <v>69</v>
      </c>
      <c r="O861">
        <v>34</v>
      </c>
      <c r="P861">
        <v>32</v>
      </c>
      <c r="Q861">
        <v>48</v>
      </c>
      <c r="R861">
        <v>26</v>
      </c>
      <c r="S861">
        <v>23</v>
      </c>
      <c r="T861">
        <v>45</v>
      </c>
      <c r="U861">
        <v>10</v>
      </c>
      <c r="V861">
        <v>6</v>
      </c>
      <c r="W861">
        <v>2</v>
      </c>
      <c r="X861">
        <v>10</v>
      </c>
      <c r="Y861">
        <v>0</v>
      </c>
      <c r="Z861">
        <v>0</v>
      </c>
      <c r="AA861">
        <v>0</v>
      </c>
      <c r="AB861">
        <v>34</v>
      </c>
      <c r="AC861">
        <v>48</v>
      </c>
      <c r="AD861">
        <v>23</v>
      </c>
      <c r="AE861">
        <v>32</v>
      </c>
      <c r="AF861">
        <v>10</v>
      </c>
      <c r="AG861">
        <v>26</v>
      </c>
      <c r="AH861">
        <v>45</v>
      </c>
      <c r="AI861">
        <v>6</v>
      </c>
      <c r="AJ861">
        <v>506</v>
      </c>
      <c r="AK861">
        <v>525</v>
      </c>
      <c r="AL861">
        <v>-1</v>
      </c>
      <c r="AM861">
        <v>-1</v>
      </c>
      <c r="AN861">
        <v>1</v>
      </c>
      <c r="AO861">
        <v>1</v>
      </c>
      <c r="AP861">
        <v>0</v>
      </c>
      <c r="AQ861">
        <v>0</v>
      </c>
      <c r="AR861">
        <f t="shared" si="2255"/>
        <v>2</v>
      </c>
      <c r="AS861">
        <f>IF(AND(IFERROR(VLOOKUP(AJ861,Equip!$A:$N,13,FALSE),0)&gt;=5,IFERROR(VLOOKUP(AJ861,Equip!$A:$N,13,FALSE),0)&lt;=9),INT(VLOOKUP(AJ861,Equip!$A:$N,6,FALSE)*SQRT(AN861)),0)</f>
        <v>0</v>
      </c>
      <c r="AT861">
        <f>IF(AND(IFERROR(VLOOKUP(AK861,Equip!$A:$N,13,FALSE),0)&gt;=5,IFERROR(VLOOKUP(AK861,Equip!$A:$N,13,FALSE),0)&lt;=9),INT(VLOOKUP(AK861,Equip!$A:$N,6,FALSE)*SQRT(AO861)),0)</f>
        <v>0</v>
      </c>
      <c r="AU861">
        <f>IF(AND(IFERROR(VLOOKUP(AL861,Equip!$A:$N,13,FALSE),0)&gt;=5,IFERROR(VLOOKUP(AL861,Equip!$A:$N,13,FALSE),0)&lt;=9),INT(VLOOKUP(AL861,Equip!$A:$N,6,FALSE)*SQRT(AP861)),0)</f>
        <v>0</v>
      </c>
      <c r="AV861">
        <f>IF(AND(IFERROR(VLOOKUP(AM861,Equip!$A:$N,13,FALSE),0)&gt;=5,IFERROR(VLOOKUP(AM861,Equip!$A:$N,13,FALSE),0)&lt;=9),INT(VLOOKUP(AM861,Equip!$A:$N,6,FALSE)*SQRT(AQ861)),0)</f>
        <v>0</v>
      </c>
      <c r="AW861">
        <f t="shared" si="2245"/>
        <v>0</v>
      </c>
      <c r="AX861">
        <f t="shared" si="2246"/>
        <v>283</v>
      </c>
    </row>
    <row r="862" spans="1:50">
      <c r="A862">
        <v>920</v>
      </c>
      <c r="B862" t="s">
        <v>1151</v>
      </c>
      <c r="C862" t="s">
        <v>1151</v>
      </c>
      <c r="D862">
        <v>0</v>
      </c>
      <c r="E862">
        <v>0</v>
      </c>
      <c r="F862">
        <v>0</v>
      </c>
      <c r="G862">
        <v>907</v>
      </c>
      <c r="H862">
        <v>0</v>
      </c>
      <c r="I862">
        <v>0</v>
      </c>
      <c r="J862">
        <v>0</v>
      </c>
      <c r="K862">
        <v>2</v>
      </c>
      <c r="L862">
        <v>2</v>
      </c>
      <c r="M862">
        <v>72</v>
      </c>
      <c r="N862">
        <v>72</v>
      </c>
      <c r="O862">
        <v>36</v>
      </c>
      <c r="P862">
        <v>36</v>
      </c>
      <c r="Q862">
        <v>48</v>
      </c>
      <c r="R862">
        <v>28</v>
      </c>
      <c r="S862">
        <v>24</v>
      </c>
      <c r="T862">
        <v>50</v>
      </c>
      <c r="U862">
        <v>10</v>
      </c>
      <c r="V862">
        <v>6</v>
      </c>
      <c r="W862">
        <v>2</v>
      </c>
      <c r="X862">
        <v>10</v>
      </c>
      <c r="Y862">
        <v>0</v>
      </c>
      <c r="Z862">
        <v>0</v>
      </c>
      <c r="AA862">
        <v>0</v>
      </c>
      <c r="AB862">
        <v>36</v>
      </c>
      <c r="AC862">
        <v>48</v>
      </c>
      <c r="AD862">
        <v>24</v>
      </c>
      <c r="AE862">
        <v>36</v>
      </c>
      <c r="AF862">
        <v>10</v>
      </c>
      <c r="AG862">
        <v>28</v>
      </c>
      <c r="AH862">
        <v>50</v>
      </c>
      <c r="AI862">
        <v>6</v>
      </c>
      <c r="AJ862">
        <v>506</v>
      </c>
      <c r="AK862">
        <v>513</v>
      </c>
      <c r="AL862">
        <v>525</v>
      </c>
      <c r="AM862">
        <v>-1</v>
      </c>
      <c r="AN862">
        <v>2</v>
      </c>
      <c r="AO862">
        <v>2</v>
      </c>
      <c r="AP862">
        <v>2</v>
      </c>
      <c r="AQ862">
        <v>0</v>
      </c>
      <c r="AR862">
        <f t="shared" si="2255"/>
        <v>6</v>
      </c>
      <c r="AS862">
        <f>IF(AND(IFERROR(VLOOKUP(AJ862,Equip!$A:$N,13,FALSE),0)&gt;=5,IFERROR(VLOOKUP(AJ862,Equip!$A:$N,13,FALSE),0)&lt;=9),INT(VLOOKUP(AJ862,Equip!$A:$N,6,FALSE)*SQRT(AN862)),0)</f>
        <v>0</v>
      </c>
      <c r="AT862">
        <f>IF(AND(IFERROR(VLOOKUP(AK862,Equip!$A:$N,13,FALSE),0)&gt;=5,IFERROR(VLOOKUP(AK862,Equip!$A:$N,13,FALSE),0)&lt;=9),INT(VLOOKUP(AK862,Equip!$A:$N,6,FALSE)*SQRT(AO862)),0)</f>
        <v>0</v>
      </c>
      <c r="AU862">
        <f>IF(AND(IFERROR(VLOOKUP(AL862,Equip!$A:$N,13,FALSE),0)&gt;=5,IFERROR(VLOOKUP(AL862,Equip!$A:$N,13,FALSE),0)&lt;=9),INT(VLOOKUP(AL862,Equip!$A:$N,6,FALSE)*SQRT(AP862)),0)</f>
        <v>0</v>
      </c>
      <c r="AV862">
        <f>IF(AND(IFERROR(VLOOKUP(AM862,Equip!$A:$N,13,FALSE),0)&gt;=5,IFERROR(VLOOKUP(AM862,Equip!$A:$N,13,FALSE),0)&lt;=9),INT(VLOOKUP(AM862,Equip!$A:$N,6,FALSE)*SQRT(AQ862)),0)</f>
        <v>0</v>
      </c>
      <c r="AW862">
        <f t="shared" si="2245"/>
        <v>0</v>
      </c>
      <c r="AX862">
        <f t="shared" si="2246"/>
        <v>300</v>
      </c>
    </row>
    <row r="863" spans="1:50">
      <c r="A863">
        <v>921</v>
      </c>
      <c r="B863" t="s">
        <v>1152</v>
      </c>
      <c r="C863" t="s">
        <v>1152</v>
      </c>
      <c r="D863">
        <v>0</v>
      </c>
      <c r="E863">
        <v>0</v>
      </c>
      <c r="F863">
        <v>0</v>
      </c>
      <c r="G863">
        <v>908</v>
      </c>
      <c r="H863">
        <v>0</v>
      </c>
      <c r="I863">
        <v>0</v>
      </c>
      <c r="J863">
        <v>0</v>
      </c>
      <c r="K863">
        <v>4</v>
      </c>
      <c r="L863">
        <v>2</v>
      </c>
      <c r="M863">
        <v>67</v>
      </c>
      <c r="N863">
        <v>67</v>
      </c>
      <c r="O863">
        <v>35</v>
      </c>
      <c r="P863">
        <v>34</v>
      </c>
      <c r="Q863">
        <v>72</v>
      </c>
      <c r="R863">
        <v>30</v>
      </c>
      <c r="S863">
        <v>20</v>
      </c>
      <c r="T863">
        <v>40</v>
      </c>
      <c r="U863">
        <v>10</v>
      </c>
      <c r="V863">
        <v>10</v>
      </c>
      <c r="W863">
        <v>2</v>
      </c>
      <c r="X863">
        <v>10</v>
      </c>
      <c r="Y863">
        <v>5</v>
      </c>
      <c r="Z863">
        <v>0</v>
      </c>
      <c r="AA863">
        <v>0</v>
      </c>
      <c r="AB863">
        <v>35</v>
      </c>
      <c r="AC863">
        <v>72</v>
      </c>
      <c r="AD863">
        <v>20</v>
      </c>
      <c r="AE863">
        <v>34</v>
      </c>
      <c r="AF863">
        <v>10</v>
      </c>
      <c r="AG863">
        <v>30</v>
      </c>
      <c r="AH863">
        <v>40</v>
      </c>
      <c r="AI863">
        <v>10</v>
      </c>
      <c r="AJ863">
        <v>506</v>
      </c>
      <c r="AK863">
        <v>514</v>
      </c>
      <c r="AL863">
        <v>514</v>
      </c>
      <c r="AM863">
        <v>-1</v>
      </c>
      <c r="AN863">
        <v>2</v>
      </c>
      <c r="AO863">
        <v>2</v>
      </c>
      <c r="AP863">
        <v>2</v>
      </c>
      <c r="AQ863">
        <v>0</v>
      </c>
      <c r="AR863">
        <f t="shared" si="2255"/>
        <v>6</v>
      </c>
      <c r="AS863">
        <f>IF(AND(IFERROR(VLOOKUP(AJ863,Equip!$A:$N,13,FALSE),0)&gt;=5,IFERROR(VLOOKUP(AJ863,Equip!$A:$N,13,FALSE),0)&lt;=9),INT(VLOOKUP(AJ863,Equip!$A:$N,6,FALSE)*SQRT(AN863)),0)</f>
        <v>0</v>
      </c>
      <c r="AT863">
        <f>IF(AND(IFERROR(VLOOKUP(AK863,Equip!$A:$N,13,FALSE),0)&gt;=5,IFERROR(VLOOKUP(AK863,Equip!$A:$N,13,FALSE),0)&lt;=9),INT(VLOOKUP(AK863,Equip!$A:$N,6,FALSE)*SQRT(AO863)),0)</f>
        <v>0</v>
      </c>
      <c r="AU863">
        <f>IF(AND(IFERROR(VLOOKUP(AL863,Equip!$A:$N,13,FALSE),0)&gt;=5,IFERROR(VLOOKUP(AL863,Equip!$A:$N,13,FALSE),0)&lt;=9),INT(VLOOKUP(AL863,Equip!$A:$N,6,FALSE)*SQRT(AP863)),0)</f>
        <v>0</v>
      </c>
      <c r="AV863">
        <f>IF(AND(IFERROR(VLOOKUP(AM863,Equip!$A:$N,13,FALSE),0)&gt;=5,IFERROR(VLOOKUP(AM863,Equip!$A:$N,13,FALSE),0)&lt;=9),INT(VLOOKUP(AM863,Equip!$A:$N,6,FALSE)*SQRT(AQ863)),0)</f>
        <v>0</v>
      </c>
      <c r="AW863">
        <f t="shared" si="2245"/>
        <v>0</v>
      </c>
      <c r="AX863">
        <f t="shared" si="2246"/>
        <v>308</v>
      </c>
    </row>
    <row r="864" spans="1:50">
      <c r="A864">
        <v>922</v>
      </c>
      <c r="B864" t="s">
        <v>1153</v>
      </c>
      <c r="C864" t="s">
        <v>1153</v>
      </c>
      <c r="D864">
        <v>0</v>
      </c>
      <c r="E864">
        <v>0</v>
      </c>
      <c r="F864">
        <v>0</v>
      </c>
      <c r="G864">
        <v>909</v>
      </c>
      <c r="H864">
        <v>0</v>
      </c>
      <c r="I864">
        <v>0</v>
      </c>
      <c r="J864">
        <v>0</v>
      </c>
      <c r="K864">
        <v>3</v>
      </c>
      <c r="L864">
        <v>4</v>
      </c>
      <c r="M864">
        <v>77</v>
      </c>
      <c r="N864">
        <v>77</v>
      </c>
      <c r="O864">
        <v>58</v>
      </c>
      <c r="P864">
        <v>60</v>
      </c>
      <c r="Q864">
        <v>42</v>
      </c>
      <c r="R864">
        <v>20</v>
      </c>
      <c r="S864">
        <v>30</v>
      </c>
      <c r="T864">
        <v>0</v>
      </c>
      <c r="U864">
        <v>10</v>
      </c>
      <c r="V864">
        <v>15</v>
      </c>
      <c r="W864">
        <v>2</v>
      </c>
      <c r="X864">
        <v>10</v>
      </c>
      <c r="Y864">
        <v>0</v>
      </c>
      <c r="Z864">
        <v>0</v>
      </c>
      <c r="AA864">
        <v>0</v>
      </c>
      <c r="AB864">
        <v>58</v>
      </c>
      <c r="AC864">
        <v>42</v>
      </c>
      <c r="AD864">
        <v>30</v>
      </c>
      <c r="AE864">
        <v>60</v>
      </c>
      <c r="AF864">
        <v>10</v>
      </c>
      <c r="AG864">
        <v>20</v>
      </c>
      <c r="AH864">
        <v>0</v>
      </c>
      <c r="AI864">
        <v>15</v>
      </c>
      <c r="AJ864">
        <v>505</v>
      </c>
      <c r="AK864">
        <v>506</v>
      </c>
      <c r="AL864">
        <v>525</v>
      </c>
      <c r="AM864">
        <v>525</v>
      </c>
      <c r="AN864">
        <v>3</v>
      </c>
      <c r="AO864">
        <v>3</v>
      </c>
      <c r="AP864">
        <v>3</v>
      </c>
      <c r="AQ864">
        <v>3</v>
      </c>
      <c r="AR864">
        <f t="shared" si="2255"/>
        <v>12</v>
      </c>
      <c r="AS864">
        <f>IF(AND(IFERROR(VLOOKUP(AJ864,Equip!$A:$N,13,FALSE),0)&gt;=5,IFERROR(VLOOKUP(AJ864,Equip!$A:$N,13,FALSE),0)&lt;=9),INT(VLOOKUP(AJ864,Equip!$A:$N,6,FALSE)*SQRT(AN864)),0)</f>
        <v>0</v>
      </c>
      <c r="AT864">
        <f>IF(AND(IFERROR(VLOOKUP(AK864,Equip!$A:$N,13,FALSE),0)&gt;=5,IFERROR(VLOOKUP(AK864,Equip!$A:$N,13,FALSE),0)&lt;=9),INT(VLOOKUP(AK864,Equip!$A:$N,6,FALSE)*SQRT(AO864)),0)</f>
        <v>0</v>
      </c>
      <c r="AU864">
        <f>IF(AND(IFERROR(VLOOKUP(AL864,Equip!$A:$N,13,FALSE),0)&gt;=5,IFERROR(VLOOKUP(AL864,Equip!$A:$N,13,FALSE),0)&lt;=9),INT(VLOOKUP(AL864,Equip!$A:$N,6,FALSE)*SQRT(AP864)),0)</f>
        <v>0</v>
      </c>
      <c r="AV864">
        <f>IF(AND(IFERROR(VLOOKUP(AM864,Equip!$A:$N,13,FALSE),0)&gt;=5,IFERROR(VLOOKUP(AM864,Equip!$A:$N,13,FALSE),0)&lt;=9),INT(VLOOKUP(AM864,Equip!$A:$N,6,FALSE)*SQRT(AQ864)),0)</f>
        <v>0</v>
      </c>
      <c r="AW864">
        <f t="shared" si="2245"/>
        <v>0</v>
      </c>
      <c r="AX864">
        <f t="shared" si="2246"/>
        <v>302</v>
      </c>
    </row>
    <row r="865" spans="1:50">
      <c r="A865">
        <v>923</v>
      </c>
      <c r="B865" t="s">
        <v>1154</v>
      </c>
      <c r="C865" t="s">
        <v>1154</v>
      </c>
      <c r="D865">
        <v>0</v>
      </c>
      <c r="E865">
        <v>0</v>
      </c>
      <c r="F865">
        <v>0</v>
      </c>
      <c r="G865">
        <v>910</v>
      </c>
      <c r="H865">
        <v>0</v>
      </c>
      <c r="I865">
        <v>0</v>
      </c>
      <c r="J865">
        <v>0</v>
      </c>
      <c r="K865">
        <v>9</v>
      </c>
      <c r="L865">
        <v>4</v>
      </c>
      <c r="M865">
        <v>87</v>
      </c>
      <c r="N865">
        <v>87</v>
      </c>
      <c r="O865">
        <v>0</v>
      </c>
      <c r="P865">
        <v>35</v>
      </c>
      <c r="Q865">
        <v>0</v>
      </c>
      <c r="R865">
        <v>10</v>
      </c>
      <c r="S865">
        <v>15</v>
      </c>
      <c r="T865">
        <v>0</v>
      </c>
      <c r="U865">
        <v>5</v>
      </c>
      <c r="V865">
        <v>30</v>
      </c>
      <c r="W865">
        <v>0</v>
      </c>
      <c r="X865">
        <v>10</v>
      </c>
      <c r="Y865">
        <v>0</v>
      </c>
      <c r="Z865">
        <v>0</v>
      </c>
      <c r="AA865">
        <v>0</v>
      </c>
      <c r="AB865">
        <v>0</v>
      </c>
      <c r="AC865">
        <v>0</v>
      </c>
      <c r="AD865">
        <v>15</v>
      </c>
      <c r="AE865">
        <v>35</v>
      </c>
      <c r="AF865">
        <v>10</v>
      </c>
      <c r="AG865">
        <v>10</v>
      </c>
      <c r="AH865">
        <v>0</v>
      </c>
      <c r="AI865">
        <v>30</v>
      </c>
      <c r="AJ865">
        <v>520</v>
      </c>
      <c r="AK865">
        <v>523</v>
      </c>
      <c r="AL865">
        <v>516</v>
      </c>
      <c r="AM865">
        <v>-1</v>
      </c>
      <c r="AN865">
        <v>24</v>
      </c>
      <c r="AO865">
        <v>24</v>
      </c>
      <c r="AP865">
        <v>24</v>
      </c>
      <c r="AQ865">
        <v>0</v>
      </c>
      <c r="AR865">
        <f t="shared" si="2255"/>
        <v>72</v>
      </c>
      <c r="AS865">
        <f>IF(AND(IFERROR(VLOOKUP(AJ865,Equip!$A:$N,13,FALSE),0)&gt;=5,IFERROR(VLOOKUP(AJ865,Equip!$A:$N,13,FALSE),0)&lt;=9),INT(VLOOKUP(AJ865,Equip!$A:$N,6,FALSE)*SQRT(AN865)),0)</f>
        <v>0</v>
      </c>
      <c r="AT865">
        <f>IF(AND(IFERROR(VLOOKUP(AK865,Equip!$A:$N,13,FALSE),0)&gt;=5,IFERROR(VLOOKUP(AK865,Equip!$A:$N,13,FALSE),0)&lt;=9),INT(VLOOKUP(AK865,Equip!$A:$N,6,FALSE)*SQRT(AO865)),0)</f>
        <v>0</v>
      </c>
      <c r="AU865">
        <f>IF(AND(IFERROR(VLOOKUP(AL865,Equip!$A:$N,13,FALSE),0)&gt;=5,IFERROR(VLOOKUP(AL865,Equip!$A:$N,13,FALSE),0)&lt;=9),INT(VLOOKUP(AL865,Equip!$A:$N,6,FALSE)*SQRT(AP865)),0)</f>
        <v>0</v>
      </c>
      <c r="AV865">
        <f>IF(AND(IFERROR(VLOOKUP(AM865,Equip!$A:$N,13,FALSE),0)&gt;=5,IFERROR(VLOOKUP(AM865,Equip!$A:$N,13,FALSE),0)&lt;=9),INT(VLOOKUP(AM865,Equip!$A:$N,6,FALSE)*SQRT(AQ865)),0)</f>
        <v>0</v>
      </c>
      <c r="AW865">
        <f t="shared" si="2245"/>
        <v>0</v>
      </c>
      <c r="AX865">
        <f t="shared" si="2246"/>
        <v>177</v>
      </c>
    </row>
    <row r="866" spans="1:50">
      <c r="A866">
        <v>924</v>
      </c>
      <c r="B866" t="s">
        <v>1155</v>
      </c>
      <c r="C866" t="s">
        <v>1155</v>
      </c>
      <c r="D866">
        <v>0</v>
      </c>
      <c r="E866">
        <v>0</v>
      </c>
      <c r="F866">
        <v>0</v>
      </c>
      <c r="G866">
        <v>911</v>
      </c>
      <c r="H866">
        <v>0</v>
      </c>
      <c r="I866">
        <v>0</v>
      </c>
      <c r="J866">
        <v>0</v>
      </c>
      <c r="K866">
        <v>8</v>
      </c>
      <c r="L866">
        <v>10</v>
      </c>
      <c r="M866">
        <v>106</v>
      </c>
      <c r="N866">
        <v>106</v>
      </c>
      <c r="O866">
        <v>85</v>
      </c>
      <c r="P866">
        <v>85</v>
      </c>
      <c r="Q866">
        <v>0</v>
      </c>
      <c r="R866">
        <v>16</v>
      </c>
      <c r="S866">
        <v>70</v>
      </c>
      <c r="T866">
        <v>0</v>
      </c>
      <c r="U866">
        <v>5</v>
      </c>
      <c r="V866">
        <v>20</v>
      </c>
      <c r="W866">
        <v>3</v>
      </c>
      <c r="X866">
        <v>10</v>
      </c>
      <c r="Y866">
        <v>0</v>
      </c>
      <c r="Z866">
        <v>0</v>
      </c>
      <c r="AA866">
        <v>0</v>
      </c>
      <c r="AB866">
        <v>85</v>
      </c>
      <c r="AC866">
        <v>0</v>
      </c>
      <c r="AD866">
        <v>70</v>
      </c>
      <c r="AE866">
        <v>85</v>
      </c>
      <c r="AF866">
        <v>10</v>
      </c>
      <c r="AG866">
        <v>16</v>
      </c>
      <c r="AH866">
        <v>0</v>
      </c>
      <c r="AI866">
        <v>20</v>
      </c>
      <c r="AJ866">
        <v>509</v>
      </c>
      <c r="AK866">
        <v>509</v>
      </c>
      <c r="AL866">
        <v>512</v>
      </c>
      <c r="AM866">
        <v>528</v>
      </c>
      <c r="AN866">
        <v>3</v>
      </c>
      <c r="AO866">
        <v>3</v>
      </c>
      <c r="AP866">
        <v>3</v>
      </c>
      <c r="AQ866">
        <v>3</v>
      </c>
      <c r="AR866">
        <f t="shared" si="2255"/>
        <v>12</v>
      </c>
      <c r="AS866">
        <f>IF(AND(IFERROR(VLOOKUP(AJ866,Equip!$A:$N,13,FALSE),0)&gt;=5,IFERROR(VLOOKUP(AJ866,Equip!$A:$N,13,FALSE),0)&lt;=9),INT(VLOOKUP(AJ866,Equip!$A:$N,6,FALSE)*SQRT(AN866)),0)</f>
        <v>0</v>
      </c>
      <c r="AT866">
        <f>IF(AND(IFERROR(VLOOKUP(AK866,Equip!$A:$N,13,FALSE),0)&gt;=5,IFERROR(VLOOKUP(AK866,Equip!$A:$N,13,FALSE),0)&lt;=9),INT(VLOOKUP(AK866,Equip!$A:$N,6,FALSE)*SQRT(AO866)),0)</f>
        <v>0</v>
      </c>
      <c r="AU866">
        <f>IF(AND(IFERROR(VLOOKUP(AL866,Equip!$A:$N,13,FALSE),0)&gt;=5,IFERROR(VLOOKUP(AL866,Equip!$A:$N,13,FALSE),0)&lt;=9),INT(VLOOKUP(AL866,Equip!$A:$N,6,FALSE)*SQRT(AP866)),0)</f>
        <v>0</v>
      </c>
      <c r="AV866">
        <f>IF(AND(IFERROR(VLOOKUP(AM866,Equip!$A:$N,13,FALSE),0)&gt;=5,IFERROR(VLOOKUP(AM866,Equip!$A:$N,13,FALSE),0)&lt;=9),INT(VLOOKUP(AM866,Equip!$A:$N,6,FALSE)*SQRT(AQ866)),0)</f>
        <v>0</v>
      </c>
      <c r="AW866">
        <f t="shared" si="2245"/>
        <v>0</v>
      </c>
      <c r="AX866">
        <f t="shared" si="2246"/>
        <v>382</v>
      </c>
    </row>
    <row r="867" spans="1:50">
      <c r="A867">
        <v>925</v>
      </c>
      <c r="B867" t="s">
        <v>1156</v>
      </c>
      <c r="C867" t="s">
        <v>1156</v>
      </c>
      <c r="D867">
        <v>0</v>
      </c>
      <c r="E867">
        <v>0</v>
      </c>
      <c r="F867">
        <v>0</v>
      </c>
      <c r="G867">
        <v>912</v>
      </c>
      <c r="H867">
        <v>0</v>
      </c>
      <c r="I867">
        <v>0</v>
      </c>
      <c r="J867">
        <v>0</v>
      </c>
      <c r="K867">
        <v>12</v>
      </c>
      <c r="L867">
        <v>4</v>
      </c>
      <c r="M867">
        <v>104</v>
      </c>
      <c r="N867">
        <v>104</v>
      </c>
      <c r="O867">
        <v>0</v>
      </c>
      <c r="P867">
        <v>55</v>
      </c>
      <c r="Q867">
        <v>0</v>
      </c>
      <c r="R867">
        <v>12</v>
      </c>
      <c r="S867">
        <v>40</v>
      </c>
      <c r="T867">
        <v>0</v>
      </c>
      <c r="U867">
        <v>10</v>
      </c>
      <c r="V867">
        <v>50</v>
      </c>
      <c r="W867">
        <v>0</v>
      </c>
      <c r="X867">
        <v>10</v>
      </c>
      <c r="Y867">
        <v>0</v>
      </c>
      <c r="Z867">
        <v>0</v>
      </c>
      <c r="AA867">
        <v>0</v>
      </c>
      <c r="AB867">
        <v>0</v>
      </c>
      <c r="AC867">
        <v>0</v>
      </c>
      <c r="AD867">
        <v>40</v>
      </c>
      <c r="AE867">
        <v>55</v>
      </c>
      <c r="AF867">
        <v>10</v>
      </c>
      <c r="AG867">
        <v>12</v>
      </c>
      <c r="AH867">
        <v>0</v>
      </c>
      <c r="AI867">
        <v>50</v>
      </c>
      <c r="AJ867">
        <v>520</v>
      </c>
      <c r="AK867">
        <v>524</v>
      </c>
      <c r="AL867">
        <v>517</v>
      </c>
      <c r="AM867">
        <v>-1</v>
      </c>
      <c r="AN867">
        <v>30</v>
      </c>
      <c r="AO867">
        <v>30</v>
      </c>
      <c r="AP867">
        <v>30</v>
      </c>
      <c r="AQ867">
        <v>0</v>
      </c>
      <c r="AR867">
        <f t="shared" si="2255"/>
        <v>90</v>
      </c>
      <c r="AS867">
        <f>IF(AND(IFERROR(VLOOKUP(AJ867,Equip!$A:$N,13,FALSE),0)&gt;=5,IFERROR(VLOOKUP(AJ867,Equip!$A:$N,13,FALSE),0)&lt;=9),INT(VLOOKUP(AJ867,Equip!$A:$N,6,FALSE)*SQRT(AN867)),0)</f>
        <v>0</v>
      </c>
      <c r="AT867">
        <f>IF(AND(IFERROR(VLOOKUP(AK867,Equip!$A:$N,13,FALSE),0)&gt;=5,IFERROR(VLOOKUP(AK867,Equip!$A:$N,13,FALSE),0)&lt;=9),INT(VLOOKUP(AK867,Equip!$A:$N,6,FALSE)*SQRT(AO867)),0)</f>
        <v>0</v>
      </c>
      <c r="AU867">
        <f>IF(AND(IFERROR(VLOOKUP(AL867,Equip!$A:$N,13,FALSE),0)&gt;=5,IFERROR(VLOOKUP(AL867,Equip!$A:$N,13,FALSE),0)&lt;=9),INT(VLOOKUP(AL867,Equip!$A:$N,6,FALSE)*SQRT(AP867)),0)</f>
        <v>0</v>
      </c>
      <c r="AV867">
        <f>IF(AND(IFERROR(VLOOKUP(AM867,Equip!$A:$N,13,FALSE),0)&gt;=5,IFERROR(VLOOKUP(AM867,Equip!$A:$N,13,FALSE),0)&lt;=9),INT(VLOOKUP(AM867,Equip!$A:$N,6,FALSE)*SQRT(AQ867)),0)</f>
        <v>0</v>
      </c>
      <c r="AW867">
        <f t="shared" si="2245"/>
        <v>0</v>
      </c>
      <c r="AX867">
        <f t="shared" si="2246"/>
        <v>261</v>
      </c>
    </row>
    <row r="868" spans="1:50">
      <c r="A868">
        <v>926</v>
      </c>
      <c r="B868" t="s">
        <v>1157</v>
      </c>
      <c r="C868" t="s">
        <v>1157</v>
      </c>
      <c r="D868">
        <v>0</v>
      </c>
      <c r="E868">
        <v>0</v>
      </c>
      <c r="F868">
        <v>0</v>
      </c>
      <c r="G868">
        <v>913</v>
      </c>
      <c r="H868">
        <v>0</v>
      </c>
      <c r="I868">
        <v>0</v>
      </c>
      <c r="J868">
        <v>0</v>
      </c>
      <c r="K868">
        <v>18</v>
      </c>
      <c r="L868">
        <v>4</v>
      </c>
      <c r="M868">
        <v>97</v>
      </c>
      <c r="N868">
        <v>97</v>
      </c>
      <c r="O868">
        <v>15</v>
      </c>
      <c r="P868">
        <v>35</v>
      </c>
      <c r="Q868">
        <v>0</v>
      </c>
      <c r="R868">
        <v>6</v>
      </c>
      <c r="S868">
        <v>0</v>
      </c>
      <c r="T868">
        <v>0</v>
      </c>
      <c r="U868">
        <v>5</v>
      </c>
      <c r="V868">
        <v>0</v>
      </c>
      <c r="W868">
        <v>1</v>
      </c>
      <c r="X868">
        <v>10</v>
      </c>
      <c r="Y868">
        <v>0</v>
      </c>
      <c r="Z868">
        <v>0</v>
      </c>
      <c r="AA868">
        <v>0</v>
      </c>
      <c r="AB868">
        <v>15</v>
      </c>
      <c r="AC868">
        <v>0</v>
      </c>
      <c r="AD868">
        <v>0</v>
      </c>
      <c r="AE868">
        <v>35</v>
      </c>
      <c r="AF868">
        <v>10</v>
      </c>
      <c r="AG868">
        <v>6</v>
      </c>
      <c r="AH868">
        <v>0</v>
      </c>
      <c r="AI868">
        <v>0</v>
      </c>
      <c r="AJ868">
        <v>501</v>
      </c>
      <c r="AK868">
        <v>503</v>
      </c>
      <c r="AL868">
        <v>503</v>
      </c>
      <c r="AM868">
        <v>-1</v>
      </c>
      <c r="AN868">
        <v>0</v>
      </c>
      <c r="AO868">
        <v>0</v>
      </c>
      <c r="AP868">
        <v>0</v>
      </c>
      <c r="AQ868">
        <v>0</v>
      </c>
      <c r="AR868">
        <f t="shared" si="2255"/>
        <v>0</v>
      </c>
      <c r="AS868">
        <f>IF(AND(IFERROR(VLOOKUP(AJ868,Equip!$A:$N,13,FALSE),0)&gt;=5,IFERROR(VLOOKUP(AJ868,Equip!$A:$N,13,FALSE),0)&lt;=9),INT(VLOOKUP(AJ868,Equip!$A:$N,6,FALSE)*SQRT(AN868)),0)</f>
        <v>0</v>
      </c>
      <c r="AT868">
        <f>IF(AND(IFERROR(VLOOKUP(AK868,Equip!$A:$N,13,FALSE),0)&gt;=5,IFERROR(VLOOKUP(AK868,Equip!$A:$N,13,FALSE),0)&lt;=9),INT(VLOOKUP(AK868,Equip!$A:$N,6,FALSE)*SQRT(AO868)),0)</f>
        <v>0</v>
      </c>
      <c r="AU868">
        <f>IF(AND(IFERROR(VLOOKUP(AL868,Equip!$A:$N,13,FALSE),0)&gt;=5,IFERROR(VLOOKUP(AL868,Equip!$A:$N,13,FALSE),0)&lt;=9),INT(VLOOKUP(AL868,Equip!$A:$N,6,FALSE)*SQRT(AP868)),0)</f>
        <v>0</v>
      </c>
      <c r="AV868">
        <f>IF(AND(IFERROR(VLOOKUP(AM868,Equip!$A:$N,13,FALSE),0)&gt;=5,IFERROR(VLOOKUP(AM868,Equip!$A:$N,13,FALSE),0)&lt;=9),INT(VLOOKUP(AM868,Equip!$A:$N,6,FALSE)*SQRT(AQ868)),0)</f>
        <v>0</v>
      </c>
      <c r="AW868">
        <f t="shared" si="2245"/>
        <v>0</v>
      </c>
      <c r="AX868">
        <f t="shared" si="2246"/>
        <v>153</v>
      </c>
    </row>
    <row r="869" spans="1:50">
      <c r="A869">
        <v>927</v>
      </c>
      <c r="B869" t="s">
        <v>1158</v>
      </c>
      <c r="C869" t="s">
        <v>1158</v>
      </c>
      <c r="D869">
        <v>0</v>
      </c>
      <c r="E869">
        <v>0</v>
      </c>
      <c r="F869">
        <v>0</v>
      </c>
      <c r="G869">
        <v>909</v>
      </c>
      <c r="H869">
        <v>0</v>
      </c>
      <c r="I869">
        <v>0</v>
      </c>
      <c r="J869">
        <v>0</v>
      </c>
      <c r="K869">
        <v>3</v>
      </c>
      <c r="L869">
        <v>4</v>
      </c>
      <c r="M869">
        <v>93</v>
      </c>
      <c r="N869">
        <v>93</v>
      </c>
      <c r="O869">
        <v>68</v>
      </c>
      <c r="P869">
        <v>70</v>
      </c>
      <c r="Q869">
        <v>48</v>
      </c>
      <c r="R869">
        <v>50</v>
      </c>
      <c r="S869">
        <v>40</v>
      </c>
      <c r="T869">
        <v>0</v>
      </c>
      <c r="U869">
        <v>10</v>
      </c>
      <c r="V869">
        <v>20</v>
      </c>
      <c r="W869">
        <v>2</v>
      </c>
      <c r="X869">
        <v>20</v>
      </c>
      <c r="Y869">
        <v>5</v>
      </c>
      <c r="Z869">
        <v>0</v>
      </c>
      <c r="AA869">
        <v>0</v>
      </c>
      <c r="AB869">
        <v>68</v>
      </c>
      <c r="AC869">
        <v>48</v>
      </c>
      <c r="AD869">
        <v>40</v>
      </c>
      <c r="AE869">
        <v>70</v>
      </c>
      <c r="AF869">
        <v>20</v>
      </c>
      <c r="AG869">
        <v>50</v>
      </c>
      <c r="AH869">
        <v>0</v>
      </c>
      <c r="AI869">
        <v>20</v>
      </c>
      <c r="AJ869">
        <v>505</v>
      </c>
      <c r="AK869">
        <v>506</v>
      </c>
      <c r="AL869">
        <v>515</v>
      </c>
      <c r="AM869">
        <v>525</v>
      </c>
      <c r="AN869">
        <v>4</v>
      </c>
      <c r="AO869">
        <v>4</v>
      </c>
      <c r="AP869">
        <v>4</v>
      </c>
      <c r="AQ869">
        <v>4</v>
      </c>
      <c r="AR869">
        <f t="shared" si="2255"/>
        <v>16</v>
      </c>
      <c r="AS869">
        <f>IF(AND(IFERROR(VLOOKUP(AJ869,Equip!$A:$N,13,FALSE),0)&gt;=5,IFERROR(VLOOKUP(AJ869,Equip!$A:$N,13,FALSE),0)&lt;=9),INT(VLOOKUP(AJ869,Equip!$A:$N,6,FALSE)*SQRT(AN869)),0)</f>
        <v>0</v>
      </c>
      <c r="AT869">
        <f>IF(AND(IFERROR(VLOOKUP(AK869,Equip!$A:$N,13,FALSE),0)&gt;=5,IFERROR(VLOOKUP(AK869,Equip!$A:$N,13,FALSE),0)&lt;=9),INT(VLOOKUP(AK869,Equip!$A:$N,6,FALSE)*SQRT(AO869)),0)</f>
        <v>0</v>
      </c>
      <c r="AU869">
        <f>IF(AND(IFERROR(VLOOKUP(AL869,Equip!$A:$N,13,FALSE),0)&gt;=5,IFERROR(VLOOKUP(AL869,Equip!$A:$N,13,FALSE),0)&lt;=9),INT(VLOOKUP(AL869,Equip!$A:$N,6,FALSE)*SQRT(AP869)),0)</f>
        <v>0</v>
      </c>
      <c r="AV869">
        <f>IF(AND(IFERROR(VLOOKUP(AM869,Equip!$A:$N,13,FALSE),0)&gt;=5,IFERROR(VLOOKUP(AM869,Equip!$A:$N,13,FALSE),0)&lt;=9),INT(VLOOKUP(AM869,Equip!$A:$N,6,FALSE)*SQRT(AQ869)),0)</f>
        <v>0</v>
      </c>
      <c r="AW869">
        <f t="shared" si="2245"/>
        <v>0</v>
      </c>
      <c r="AX869">
        <f t="shared" si="2246"/>
        <v>389</v>
      </c>
    </row>
    <row r="870" spans="1:50">
      <c r="A870">
        <v>928</v>
      </c>
      <c r="B870" t="s">
        <v>1159</v>
      </c>
      <c r="C870" t="s">
        <v>1159</v>
      </c>
      <c r="D870">
        <v>0</v>
      </c>
      <c r="E870">
        <v>0</v>
      </c>
      <c r="F870">
        <v>0</v>
      </c>
      <c r="G870">
        <v>912</v>
      </c>
      <c r="H870">
        <v>0</v>
      </c>
      <c r="I870">
        <v>0</v>
      </c>
      <c r="J870">
        <v>0</v>
      </c>
      <c r="K870">
        <v>12</v>
      </c>
      <c r="L870">
        <v>4</v>
      </c>
      <c r="M870">
        <v>112</v>
      </c>
      <c r="N870">
        <v>112</v>
      </c>
      <c r="O870">
        <v>25</v>
      </c>
      <c r="P870">
        <v>80</v>
      </c>
      <c r="Q870">
        <v>0</v>
      </c>
      <c r="R870">
        <v>45</v>
      </c>
      <c r="S870">
        <v>50</v>
      </c>
      <c r="T870">
        <v>0</v>
      </c>
      <c r="U870">
        <v>10</v>
      </c>
      <c r="V870">
        <v>50</v>
      </c>
      <c r="W870">
        <v>0</v>
      </c>
      <c r="X870">
        <v>20</v>
      </c>
      <c r="Y870">
        <v>5</v>
      </c>
      <c r="Z870">
        <v>0</v>
      </c>
      <c r="AA870">
        <v>0</v>
      </c>
      <c r="AB870">
        <v>25</v>
      </c>
      <c r="AC870">
        <v>0</v>
      </c>
      <c r="AD870">
        <v>50</v>
      </c>
      <c r="AE870">
        <v>80</v>
      </c>
      <c r="AF870">
        <v>20</v>
      </c>
      <c r="AG870">
        <v>45</v>
      </c>
      <c r="AH870">
        <v>0</v>
      </c>
      <c r="AI870">
        <v>50</v>
      </c>
      <c r="AJ870">
        <v>520</v>
      </c>
      <c r="AK870">
        <v>517</v>
      </c>
      <c r="AL870">
        <v>524</v>
      </c>
      <c r="AM870">
        <v>-1</v>
      </c>
      <c r="AN870">
        <v>32</v>
      </c>
      <c r="AO870">
        <v>32</v>
      </c>
      <c r="AP870">
        <v>32</v>
      </c>
      <c r="AQ870">
        <v>0</v>
      </c>
      <c r="AR870">
        <f t="shared" si="2255"/>
        <v>96</v>
      </c>
      <c r="AS870">
        <f>IF(AND(IFERROR(VLOOKUP(AJ870,Equip!$A:$N,13,FALSE),0)&gt;=5,IFERROR(VLOOKUP(AJ870,Equip!$A:$N,13,FALSE),0)&lt;=9),INT(VLOOKUP(AJ870,Equip!$A:$N,6,FALSE)*SQRT(AN870)),0)</f>
        <v>0</v>
      </c>
      <c r="AT870">
        <f>IF(AND(IFERROR(VLOOKUP(AK870,Equip!$A:$N,13,FALSE),0)&gt;=5,IFERROR(VLOOKUP(AK870,Equip!$A:$N,13,FALSE),0)&lt;=9),INT(VLOOKUP(AK870,Equip!$A:$N,6,FALSE)*SQRT(AO870)),0)</f>
        <v>0</v>
      </c>
      <c r="AU870">
        <f>IF(AND(IFERROR(VLOOKUP(AL870,Equip!$A:$N,13,FALSE),0)&gt;=5,IFERROR(VLOOKUP(AL870,Equip!$A:$N,13,FALSE),0)&lt;=9),INT(VLOOKUP(AL870,Equip!$A:$N,6,FALSE)*SQRT(AP870)),0)</f>
        <v>0</v>
      </c>
      <c r="AV870">
        <f>IF(AND(IFERROR(VLOOKUP(AM870,Equip!$A:$N,13,FALSE),0)&gt;=5,IFERROR(VLOOKUP(AM870,Equip!$A:$N,13,FALSE),0)&lt;=9),INT(VLOOKUP(AM870,Equip!$A:$N,6,FALSE)*SQRT(AQ870)),0)</f>
        <v>0</v>
      </c>
      <c r="AW870">
        <f t="shared" si="2245"/>
        <v>0</v>
      </c>
      <c r="AX870">
        <f t="shared" si="2246"/>
        <v>362</v>
      </c>
    </row>
    <row r="871" spans="1:50">
      <c r="A871">
        <v>929</v>
      </c>
      <c r="B871" t="s">
        <v>1160</v>
      </c>
      <c r="C871" t="s">
        <v>1160</v>
      </c>
      <c r="D871">
        <v>0</v>
      </c>
      <c r="E871">
        <v>0</v>
      </c>
      <c r="F871">
        <v>0</v>
      </c>
      <c r="G871">
        <v>911</v>
      </c>
      <c r="H871">
        <v>0</v>
      </c>
      <c r="I871">
        <v>0</v>
      </c>
      <c r="J871">
        <v>0</v>
      </c>
      <c r="K871">
        <v>8</v>
      </c>
      <c r="L871">
        <v>10</v>
      </c>
      <c r="M871">
        <v>114</v>
      </c>
      <c r="N871">
        <v>114</v>
      </c>
      <c r="O871">
        <v>90</v>
      </c>
      <c r="P871">
        <v>85</v>
      </c>
      <c r="Q871">
        <v>0</v>
      </c>
      <c r="R871">
        <v>40</v>
      </c>
      <c r="S871">
        <v>80</v>
      </c>
      <c r="T871">
        <v>0</v>
      </c>
      <c r="U871">
        <v>5</v>
      </c>
      <c r="V871">
        <v>30</v>
      </c>
      <c r="W871">
        <v>3</v>
      </c>
      <c r="X871">
        <v>20</v>
      </c>
      <c r="Y871">
        <v>5</v>
      </c>
      <c r="Z871">
        <v>0</v>
      </c>
      <c r="AA871">
        <v>0</v>
      </c>
      <c r="AB871">
        <v>90</v>
      </c>
      <c r="AC871">
        <v>0</v>
      </c>
      <c r="AD871">
        <v>80</v>
      </c>
      <c r="AE871">
        <v>85</v>
      </c>
      <c r="AF871">
        <v>20</v>
      </c>
      <c r="AG871">
        <v>40</v>
      </c>
      <c r="AH871">
        <v>0</v>
      </c>
      <c r="AI871">
        <v>30</v>
      </c>
      <c r="AJ871">
        <v>509</v>
      </c>
      <c r="AK871">
        <v>509</v>
      </c>
      <c r="AL871">
        <v>525</v>
      </c>
      <c r="AM871">
        <v>528</v>
      </c>
      <c r="AN871">
        <v>5</v>
      </c>
      <c r="AO871">
        <v>5</v>
      </c>
      <c r="AP871">
        <v>5</v>
      </c>
      <c r="AQ871">
        <v>5</v>
      </c>
      <c r="AR871">
        <f t="shared" si="2255"/>
        <v>20</v>
      </c>
      <c r="AS871">
        <f>IF(AND(IFERROR(VLOOKUP(AJ871,Equip!$A:$N,13,FALSE),0)&gt;=5,IFERROR(VLOOKUP(AJ871,Equip!$A:$N,13,FALSE),0)&lt;=9),INT(VLOOKUP(AJ871,Equip!$A:$N,6,FALSE)*SQRT(AN871)),0)</f>
        <v>0</v>
      </c>
      <c r="AT871">
        <f>IF(AND(IFERROR(VLOOKUP(AK871,Equip!$A:$N,13,FALSE),0)&gt;=5,IFERROR(VLOOKUP(AK871,Equip!$A:$N,13,FALSE),0)&lt;=9),INT(VLOOKUP(AK871,Equip!$A:$N,6,FALSE)*SQRT(AO871)),0)</f>
        <v>0</v>
      </c>
      <c r="AU871">
        <f>IF(AND(IFERROR(VLOOKUP(AL871,Equip!$A:$N,13,FALSE),0)&gt;=5,IFERROR(VLOOKUP(AL871,Equip!$A:$N,13,FALSE),0)&lt;=9),INT(VLOOKUP(AL871,Equip!$A:$N,6,FALSE)*SQRT(AP871)),0)</f>
        <v>0</v>
      </c>
      <c r="AV871">
        <f>IF(AND(IFERROR(VLOOKUP(AM871,Equip!$A:$N,13,FALSE),0)&gt;=5,IFERROR(VLOOKUP(AM871,Equip!$A:$N,13,FALSE),0)&lt;=9),INT(VLOOKUP(AM871,Equip!$A:$N,6,FALSE)*SQRT(AQ871)),0)</f>
        <v>0</v>
      </c>
      <c r="AW871">
        <f t="shared" si="2245"/>
        <v>0</v>
      </c>
      <c r="AX871">
        <f t="shared" si="2246"/>
        <v>439</v>
      </c>
    </row>
    <row r="872" spans="1:50">
      <c r="A872">
        <v>930</v>
      </c>
      <c r="B872" t="s">
        <v>1161</v>
      </c>
      <c r="C872" t="s">
        <v>1161</v>
      </c>
      <c r="D872">
        <v>0</v>
      </c>
      <c r="E872">
        <v>0</v>
      </c>
      <c r="F872">
        <v>0</v>
      </c>
      <c r="G872">
        <v>930</v>
      </c>
      <c r="H872">
        <v>0</v>
      </c>
      <c r="I872">
        <v>0</v>
      </c>
      <c r="J872">
        <v>0</v>
      </c>
      <c r="K872">
        <v>14</v>
      </c>
      <c r="L872">
        <v>1</v>
      </c>
      <c r="M872">
        <v>28</v>
      </c>
      <c r="N872">
        <v>28</v>
      </c>
      <c r="O872">
        <v>0</v>
      </c>
      <c r="P872">
        <v>7</v>
      </c>
      <c r="Q872">
        <v>42</v>
      </c>
      <c r="R872">
        <v>1</v>
      </c>
      <c r="S872">
        <v>0</v>
      </c>
      <c r="T872">
        <v>0</v>
      </c>
      <c r="U872">
        <v>5</v>
      </c>
      <c r="V872">
        <v>6</v>
      </c>
      <c r="W872">
        <v>1</v>
      </c>
      <c r="X872">
        <v>1</v>
      </c>
      <c r="Y872">
        <v>0</v>
      </c>
      <c r="Z872">
        <v>0</v>
      </c>
      <c r="AA872">
        <v>0</v>
      </c>
      <c r="AB872">
        <v>0</v>
      </c>
      <c r="AC872">
        <v>42</v>
      </c>
      <c r="AD872">
        <v>0</v>
      </c>
      <c r="AE872">
        <v>7</v>
      </c>
      <c r="AF872">
        <v>1</v>
      </c>
      <c r="AG872">
        <v>1</v>
      </c>
      <c r="AH872">
        <v>0</v>
      </c>
      <c r="AI872">
        <v>6</v>
      </c>
      <c r="AJ872">
        <v>513</v>
      </c>
      <c r="AK872">
        <v>513</v>
      </c>
      <c r="AL872">
        <v>-1</v>
      </c>
      <c r="AM872">
        <v>-1</v>
      </c>
      <c r="AN872">
        <v>0</v>
      </c>
      <c r="AO872">
        <v>0</v>
      </c>
      <c r="AP872">
        <v>0</v>
      </c>
      <c r="AQ872">
        <v>0</v>
      </c>
      <c r="AR872">
        <f t="shared" si="2255"/>
        <v>0</v>
      </c>
      <c r="AS872">
        <f>IF(AND(IFERROR(VLOOKUP(AJ872,Equip!$A:$N,13,FALSE),0)&gt;=5,IFERROR(VLOOKUP(AJ872,Equip!$A:$N,13,FALSE),0)&lt;=9),INT(VLOOKUP(AJ872,Equip!$A:$N,6,FALSE)*SQRT(AN872)),0)</f>
        <v>0</v>
      </c>
      <c r="AT872">
        <f>IF(AND(IFERROR(VLOOKUP(AK872,Equip!$A:$N,13,FALSE),0)&gt;=5,IFERROR(VLOOKUP(AK872,Equip!$A:$N,13,FALSE),0)&lt;=9),INT(VLOOKUP(AK872,Equip!$A:$N,6,FALSE)*SQRT(AO872)),0)</f>
        <v>0</v>
      </c>
      <c r="AU872">
        <f>IF(AND(IFERROR(VLOOKUP(AL872,Equip!$A:$N,13,FALSE),0)&gt;=5,IFERROR(VLOOKUP(AL872,Equip!$A:$N,13,FALSE),0)&lt;=9),INT(VLOOKUP(AL872,Equip!$A:$N,6,FALSE)*SQRT(AP872)),0)</f>
        <v>0</v>
      </c>
      <c r="AV872">
        <f>IF(AND(IFERROR(VLOOKUP(AM872,Equip!$A:$N,13,FALSE),0)&gt;=5,IFERROR(VLOOKUP(AM872,Equip!$A:$N,13,FALSE),0)&lt;=9),INT(VLOOKUP(AM872,Equip!$A:$N,6,FALSE)*SQRT(AQ872)),0)</f>
        <v>0</v>
      </c>
      <c r="AW872">
        <f t="shared" si="2245"/>
        <v>0</v>
      </c>
      <c r="AX872">
        <f t="shared" si="2246"/>
        <v>84</v>
      </c>
    </row>
    <row r="873" spans="1:50">
      <c r="A873">
        <v>931</v>
      </c>
      <c r="B873" t="s">
        <v>1162</v>
      </c>
      <c r="C873" t="s">
        <v>1162</v>
      </c>
      <c r="D873">
        <v>0</v>
      </c>
      <c r="E873">
        <v>0</v>
      </c>
      <c r="F873">
        <v>0</v>
      </c>
      <c r="G873">
        <v>931</v>
      </c>
      <c r="H873">
        <v>0</v>
      </c>
      <c r="I873">
        <v>0</v>
      </c>
      <c r="J873">
        <v>0</v>
      </c>
      <c r="K873">
        <v>14</v>
      </c>
      <c r="L873">
        <v>1</v>
      </c>
      <c r="M873">
        <v>33</v>
      </c>
      <c r="N873">
        <v>33</v>
      </c>
      <c r="O873">
        <v>0</v>
      </c>
      <c r="P873">
        <v>9</v>
      </c>
      <c r="Q873">
        <v>52</v>
      </c>
      <c r="R873">
        <v>1</v>
      </c>
      <c r="S873">
        <v>0</v>
      </c>
      <c r="T873">
        <v>0</v>
      </c>
      <c r="U873">
        <v>5</v>
      </c>
      <c r="V873">
        <v>7</v>
      </c>
      <c r="W873">
        <v>1</v>
      </c>
      <c r="X873">
        <v>5</v>
      </c>
      <c r="Y873">
        <v>5</v>
      </c>
      <c r="Z873">
        <v>0</v>
      </c>
      <c r="AA873">
        <v>0</v>
      </c>
      <c r="AB873">
        <v>0</v>
      </c>
      <c r="AC873">
        <v>52</v>
      </c>
      <c r="AD873">
        <v>0</v>
      </c>
      <c r="AE873">
        <v>9</v>
      </c>
      <c r="AF873">
        <v>5</v>
      </c>
      <c r="AG873">
        <v>1</v>
      </c>
      <c r="AH873">
        <v>0</v>
      </c>
      <c r="AI873">
        <v>7</v>
      </c>
      <c r="AJ873">
        <v>514</v>
      </c>
      <c r="AK873">
        <v>514</v>
      </c>
      <c r="AL873">
        <v>-1</v>
      </c>
      <c r="AM873">
        <v>-1</v>
      </c>
      <c r="AN873">
        <v>0</v>
      </c>
      <c r="AO873">
        <v>0</v>
      </c>
      <c r="AP873">
        <v>0</v>
      </c>
      <c r="AQ873">
        <v>0</v>
      </c>
      <c r="AR873">
        <f t="shared" si="2255"/>
        <v>0</v>
      </c>
      <c r="AS873">
        <f>IF(AND(IFERROR(VLOOKUP(AJ873,Equip!$A:$N,13,FALSE),0)&gt;=5,IFERROR(VLOOKUP(AJ873,Equip!$A:$N,13,FALSE),0)&lt;=9),INT(VLOOKUP(AJ873,Equip!$A:$N,6,FALSE)*SQRT(AN873)),0)</f>
        <v>0</v>
      </c>
      <c r="AT873">
        <f>IF(AND(IFERROR(VLOOKUP(AK873,Equip!$A:$N,13,FALSE),0)&gt;=5,IFERROR(VLOOKUP(AK873,Equip!$A:$N,13,FALSE),0)&lt;=9),INT(VLOOKUP(AK873,Equip!$A:$N,6,FALSE)*SQRT(AO873)),0)</f>
        <v>0</v>
      </c>
      <c r="AU873">
        <f>IF(AND(IFERROR(VLOOKUP(AL873,Equip!$A:$N,13,FALSE),0)&gt;=5,IFERROR(VLOOKUP(AL873,Equip!$A:$N,13,FALSE),0)&lt;=9),INT(VLOOKUP(AL873,Equip!$A:$N,6,FALSE)*SQRT(AP873)),0)</f>
        <v>0</v>
      </c>
      <c r="AV873">
        <f>IF(AND(IFERROR(VLOOKUP(AM873,Equip!$A:$N,13,FALSE),0)&gt;=5,IFERROR(VLOOKUP(AM873,Equip!$A:$N,13,FALSE),0)&lt;=9),INT(VLOOKUP(AM873,Equip!$A:$N,6,FALSE)*SQRT(AQ873)),0)</f>
        <v>0</v>
      </c>
      <c r="AW873">
        <f t="shared" si="2245"/>
        <v>0</v>
      </c>
      <c r="AX873">
        <f t="shared" si="2246"/>
        <v>102</v>
      </c>
    </row>
    <row r="874" spans="1:50">
      <c r="A874">
        <v>932</v>
      </c>
      <c r="B874" t="s">
        <v>1163</v>
      </c>
      <c r="C874" t="s">
        <v>1163</v>
      </c>
      <c r="D874">
        <v>0</v>
      </c>
      <c r="E874">
        <v>0</v>
      </c>
      <c r="F874">
        <v>0</v>
      </c>
      <c r="G874">
        <v>930</v>
      </c>
      <c r="H874">
        <v>0</v>
      </c>
      <c r="I874">
        <v>0</v>
      </c>
      <c r="J874">
        <v>0</v>
      </c>
      <c r="K874">
        <v>14</v>
      </c>
      <c r="L874">
        <v>1</v>
      </c>
      <c r="M874">
        <v>36</v>
      </c>
      <c r="N874">
        <v>36</v>
      </c>
      <c r="O874">
        <v>0</v>
      </c>
      <c r="P874">
        <v>21</v>
      </c>
      <c r="Q874">
        <v>64</v>
      </c>
      <c r="R874">
        <v>5</v>
      </c>
      <c r="S874">
        <v>0</v>
      </c>
      <c r="T874">
        <v>0</v>
      </c>
      <c r="U874">
        <v>5</v>
      </c>
      <c r="V874">
        <v>8</v>
      </c>
      <c r="W874">
        <v>1</v>
      </c>
      <c r="X874">
        <v>10</v>
      </c>
      <c r="Y874">
        <v>10</v>
      </c>
      <c r="Z874">
        <v>0</v>
      </c>
      <c r="AA874">
        <v>0</v>
      </c>
      <c r="AB874">
        <v>0</v>
      </c>
      <c r="AC874">
        <v>64</v>
      </c>
      <c r="AD874">
        <v>0</v>
      </c>
      <c r="AE874">
        <v>21</v>
      </c>
      <c r="AF874">
        <v>10</v>
      </c>
      <c r="AG874">
        <v>5</v>
      </c>
      <c r="AH874">
        <v>0</v>
      </c>
      <c r="AI874">
        <v>8</v>
      </c>
      <c r="AJ874">
        <v>515</v>
      </c>
      <c r="AK874">
        <v>513</v>
      </c>
      <c r="AL874">
        <v>513</v>
      </c>
      <c r="AM874">
        <v>-1</v>
      </c>
      <c r="AN874">
        <v>0</v>
      </c>
      <c r="AO874">
        <v>0</v>
      </c>
      <c r="AP874">
        <v>0</v>
      </c>
      <c r="AQ874">
        <v>0</v>
      </c>
      <c r="AR874">
        <f t="shared" si="2255"/>
        <v>0</v>
      </c>
      <c r="AS874">
        <f>IF(AND(IFERROR(VLOOKUP(AJ874,Equip!$A:$N,13,FALSE),0)&gt;=5,IFERROR(VLOOKUP(AJ874,Equip!$A:$N,13,FALSE),0)&lt;=9),INT(VLOOKUP(AJ874,Equip!$A:$N,6,FALSE)*SQRT(AN874)),0)</f>
        <v>0</v>
      </c>
      <c r="AT874">
        <f>IF(AND(IFERROR(VLOOKUP(AK874,Equip!$A:$N,13,FALSE),0)&gt;=5,IFERROR(VLOOKUP(AK874,Equip!$A:$N,13,FALSE),0)&lt;=9),INT(VLOOKUP(AK874,Equip!$A:$N,6,FALSE)*SQRT(AO874)),0)</f>
        <v>0</v>
      </c>
      <c r="AU874">
        <f>IF(AND(IFERROR(VLOOKUP(AL874,Equip!$A:$N,13,FALSE),0)&gt;=5,IFERROR(VLOOKUP(AL874,Equip!$A:$N,13,FALSE),0)&lt;=9),INT(VLOOKUP(AL874,Equip!$A:$N,6,FALSE)*SQRT(AP874)),0)</f>
        <v>0</v>
      </c>
      <c r="AV874">
        <f>IF(AND(IFERROR(VLOOKUP(AM874,Equip!$A:$N,13,FALSE),0)&gt;=5,IFERROR(VLOOKUP(AM874,Equip!$A:$N,13,FALSE),0)&lt;=9),INT(VLOOKUP(AM874,Equip!$A:$N,6,FALSE)*SQRT(AQ874)),0)</f>
        <v>0</v>
      </c>
      <c r="AW874">
        <f t="shared" si="2245"/>
        <v>0</v>
      </c>
      <c r="AX874">
        <f t="shared" si="2246"/>
        <v>134</v>
      </c>
    </row>
    <row r="875" spans="1:50">
      <c r="A875">
        <v>933</v>
      </c>
      <c r="B875" t="s">
        <v>1164</v>
      </c>
      <c r="C875" t="s">
        <v>1164</v>
      </c>
      <c r="D875">
        <v>0</v>
      </c>
      <c r="E875">
        <v>0</v>
      </c>
      <c r="F875">
        <v>0</v>
      </c>
      <c r="G875">
        <v>931</v>
      </c>
      <c r="H875">
        <v>0</v>
      </c>
      <c r="I875">
        <v>0</v>
      </c>
      <c r="J875">
        <v>0</v>
      </c>
      <c r="K875">
        <v>14</v>
      </c>
      <c r="L875">
        <v>1</v>
      </c>
      <c r="M875">
        <v>43</v>
      </c>
      <c r="N875">
        <v>43</v>
      </c>
      <c r="O875">
        <v>0</v>
      </c>
      <c r="P875">
        <v>27</v>
      </c>
      <c r="Q875">
        <v>74</v>
      </c>
      <c r="R875">
        <v>5</v>
      </c>
      <c r="S875">
        <v>0</v>
      </c>
      <c r="T875">
        <v>0</v>
      </c>
      <c r="U875">
        <v>5</v>
      </c>
      <c r="V875">
        <v>9</v>
      </c>
      <c r="W875">
        <v>1</v>
      </c>
      <c r="X875">
        <v>10</v>
      </c>
      <c r="Y875">
        <v>10</v>
      </c>
      <c r="Z875">
        <v>0</v>
      </c>
      <c r="AA875">
        <v>0</v>
      </c>
      <c r="AB875">
        <v>0</v>
      </c>
      <c r="AC875">
        <v>74</v>
      </c>
      <c r="AD875">
        <v>0</v>
      </c>
      <c r="AE875">
        <v>27</v>
      </c>
      <c r="AF875">
        <v>10</v>
      </c>
      <c r="AG875">
        <v>5</v>
      </c>
      <c r="AH875">
        <v>0</v>
      </c>
      <c r="AI875">
        <v>9</v>
      </c>
      <c r="AJ875">
        <v>515</v>
      </c>
      <c r="AK875">
        <v>514</v>
      </c>
      <c r="AL875">
        <v>514</v>
      </c>
      <c r="AM875">
        <v>-1</v>
      </c>
      <c r="AN875">
        <v>0</v>
      </c>
      <c r="AO875">
        <v>0</v>
      </c>
      <c r="AP875">
        <v>0</v>
      </c>
      <c r="AQ875">
        <v>0</v>
      </c>
      <c r="AR875">
        <f t="shared" si="2255"/>
        <v>0</v>
      </c>
      <c r="AS875">
        <f>IF(AND(IFERROR(VLOOKUP(AJ875,Equip!$A:$N,13,FALSE),0)&gt;=5,IFERROR(VLOOKUP(AJ875,Equip!$A:$N,13,FALSE),0)&lt;=9),INT(VLOOKUP(AJ875,Equip!$A:$N,6,FALSE)*SQRT(AN875)),0)</f>
        <v>0</v>
      </c>
      <c r="AT875">
        <f>IF(AND(IFERROR(VLOOKUP(AK875,Equip!$A:$N,13,FALSE),0)&gt;=5,IFERROR(VLOOKUP(AK875,Equip!$A:$N,13,FALSE),0)&lt;=9),INT(VLOOKUP(AK875,Equip!$A:$N,6,FALSE)*SQRT(AO875)),0)</f>
        <v>0</v>
      </c>
      <c r="AU875">
        <f>IF(AND(IFERROR(VLOOKUP(AL875,Equip!$A:$N,13,FALSE),0)&gt;=5,IFERROR(VLOOKUP(AL875,Equip!$A:$N,13,FALSE),0)&lt;=9),INT(VLOOKUP(AL875,Equip!$A:$N,6,FALSE)*SQRT(AP875)),0)</f>
        <v>0</v>
      </c>
      <c r="AV875">
        <f>IF(AND(IFERROR(VLOOKUP(AM875,Equip!$A:$N,13,FALSE),0)&gt;=5,IFERROR(VLOOKUP(AM875,Equip!$A:$N,13,FALSE),0)&lt;=9),INT(VLOOKUP(AM875,Equip!$A:$N,6,FALSE)*SQRT(AQ875)),0)</f>
        <v>0</v>
      </c>
      <c r="AW875">
        <f t="shared" si="2245"/>
        <v>0</v>
      </c>
      <c r="AX875">
        <f t="shared" si="2246"/>
        <v>158</v>
      </c>
    </row>
    <row r="876" spans="1:50">
      <c r="A876">
        <v>934</v>
      </c>
      <c r="B876" t="s">
        <v>1165</v>
      </c>
      <c r="C876" t="s">
        <v>1165</v>
      </c>
      <c r="D876">
        <v>0</v>
      </c>
      <c r="E876">
        <v>0</v>
      </c>
      <c r="F876">
        <v>0</v>
      </c>
      <c r="G876">
        <v>930</v>
      </c>
      <c r="H876">
        <v>0</v>
      </c>
      <c r="I876">
        <v>0</v>
      </c>
      <c r="J876">
        <v>0</v>
      </c>
      <c r="K876">
        <v>14</v>
      </c>
      <c r="L876">
        <v>1</v>
      </c>
      <c r="M876">
        <v>46</v>
      </c>
      <c r="N876">
        <v>46</v>
      </c>
      <c r="O876">
        <v>0</v>
      </c>
      <c r="P876">
        <v>30</v>
      </c>
      <c r="Q876">
        <v>86</v>
      </c>
      <c r="R876">
        <v>10</v>
      </c>
      <c r="S876">
        <v>0</v>
      </c>
      <c r="T876">
        <v>0</v>
      </c>
      <c r="U876">
        <v>5</v>
      </c>
      <c r="V876">
        <v>10</v>
      </c>
      <c r="W876">
        <v>1</v>
      </c>
      <c r="X876">
        <v>20</v>
      </c>
      <c r="Y876">
        <v>15</v>
      </c>
      <c r="Z876">
        <v>0</v>
      </c>
      <c r="AA876">
        <v>0</v>
      </c>
      <c r="AB876">
        <v>0</v>
      </c>
      <c r="AC876">
        <v>86</v>
      </c>
      <c r="AD876">
        <v>0</v>
      </c>
      <c r="AE876">
        <v>30</v>
      </c>
      <c r="AF876">
        <v>20</v>
      </c>
      <c r="AG876">
        <v>10</v>
      </c>
      <c r="AH876">
        <v>0</v>
      </c>
      <c r="AI876">
        <v>10</v>
      </c>
      <c r="AJ876">
        <v>515</v>
      </c>
      <c r="AK876">
        <v>515</v>
      </c>
      <c r="AL876">
        <v>513</v>
      </c>
      <c r="AM876">
        <v>-1</v>
      </c>
      <c r="AN876">
        <v>0</v>
      </c>
      <c r="AO876">
        <v>0</v>
      </c>
      <c r="AP876">
        <v>0</v>
      </c>
      <c r="AQ876">
        <v>0</v>
      </c>
      <c r="AR876">
        <f t="shared" si="2255"/>
        <v>0</v>
      </c>
      <c r="AS876">
        <f>IF(AND(IFERROR(VLOOKUP(AJ876,Equip!$A:$N,13,FALSE),0)&gt;=5,IFERROR(VLOOKUP(AJ876,Equip!$A:$N,13,FALSE),0)&lt;=9),INT(VLOOKUP(AJ876,Equip!$A:$N,6,FALSE)*SQRT(AN876)),0)</f>
        <v>0</v>
      </c>
      <c r="AT876">
        <f>IF(AND(IFERROR(VLOOKUP(AK876,Equip!$A:$N,13,FALSE),0)&gt;=5,IFERROR(VLOOKUP(AK876,Equip!$A:$N,13,FALSE),0)&lt;=9),INT(VLOOKUP(AK876,Equip!$A:$N,6,FALSE)*SQRT(AO876)),0)</f>
        <v>0</v>
      </c>
      <c r="AU876">
        <f>IF(AND(IFERROR(VLOOKUP(AL876,Equip!$A:$N,13,FALSE),0)&gt;=5,IFERROR(VLOOKUP(AL876,Equip!$A:$N,13,FALSE),0)&lt;=9),INT(VLOOKUP(AL876,Equip!$A:$N,6,FALSE)*SQRT(AP876)),0)</f>
        <v>0</v>
      </c>
      <c r="AV876">
        <f>IF(AND(IFERROR(VLOOKUP(AM876,Equip!$A:$N,13,FALSE),0)&gt;=5,IFERROR(VLOOKUP(AM876,Equip!$A:$N,13,FALSE),0)&lt;=9),INT(VLOOKUP(AM876,Equip!$A:$N,6,FALSE)*SQRT(AQ876)),0)</f>
        <v>0</v>
      </c>
      <c r="AW876">
        <f t="shared" si="2245"/>
        <v>0</v>
      </c>
      <c r="AX876">
        <f t="shared" si="2246"/>
        <v>182</v>
      </c>
    </row>
    <row r="877" spans="1:50">
      <c r="A877">
        <v>935</v>
      </c>
      <c r="B877" t="s">
        <v>1166</v>
      </c>
      <c r="C877" t="s">
        <v>1166</v>
      </c>
      <c r="D877">
        <v>0</v>
      </c>
      <c r="E877">
        <v>0</v>
      </c>
      <c r="F877">
        <v>0</v>
      </c>
      <c r="G877">
        <v>931</v>
      </c>
      <c r="H877">
        <v>0</v>
      </c>
      <c r="I877">
        <v>0</v>
      </c>
      <c r="J877">
        <v>0</v>
      </c>
      <c r="K877">
        <v>14</v>
      </c>
      <c r="L877">
        <v>1</v>
      </c>
      <c r="M877">
        <v>53</v>
      </c>
      <c r="N877">
        <v>53</v>
      </c>
      <c r="O877">
        <v>0</v>
      </c>
      <c r="P877">
        <v>36</v>
      </c>
      <c r="Q877">
        <v>96</v>
      </c>
      <c r="R877">
        <v>10</v>
      </c>
      <c r="S877">
        <v>0</v>
      </c>
      <c r="T877">
        <v>0</v>
      </c>
      <c r="U877">
        <v>5</v>
      </c>
      <c r="V877">
        <v>10</v>
      </c>
      <c r="W877">
        <v>1</v>
      </c>
      <c r="X877">
        <v>20</v>
      </c>
      <c r="Y877">
        <v>20</v>
      </c>
      <c r="Z877">
        <v>0</v>
      </c>
      <c r="AA877">
        <v>0</v>
      </c>
      <c r="AB877">
        <v>0</v>
      </c>
      <c r="AC877">
        <v>96</v>
      </c>
      <c r="AD877">
        <v>0</v>
      </c>
      <c r="AE877">
        <v>36</v>
      </c>
      <c r="AF877">
        <v>20</v>
      </c>
      <c r="AG877">
        <v>10</v>
      </c>
      <c r="AH877">
        <v>0</v>
      </c>
      <c r="AI877">
        <v>10</v>
      </c>
      <c r="AJ877">
        <v>515</v>
      </c>
      <c r="AK877">
        <v>515</v>
      </c>
      <c r="AL877">
        <v>514</v>
      </c>
      <c r="AM877">
        <v>-1</v>
      </c>
      <c r="AN877">
        <v>0</v>
      </c>
      <c r="AO877">
        <v>0</v>
      </c>
      <c r="AP877">
        <v>0</v>
      </c>
      <c r="AQ877">
        <v>0</v>
      </c>
      <c r="AR877">
        <f t="shared" si="2255"/>
        <v>0</v>
      </c>
      <c r="AS877">
        <f>IF(AND(IFERROR(VLOOKUP(AJ877,Equip!$A:$N,13,FALSE),0)&gt;=5,IFERROR(VLOOKUP(AJ877,Equip!$A:$N,13,FALSE),0)&lt;=9),INT(VLOOKUP(AJ877,Equip!$A:$N,6,FALSE)*SQRT(AN877)),0)</f>
        <v>0</v>
      </c>
      <c r="AT877">
        <f>IF(AND(IFERROR(VLOOKUP(AK877,Equip!$A:$N,13,FALSE),0)&gt;=5,IFERROR(VLOOKUP(AK877,Equip!$A:$N,13,FALSE),0)&lt;=9),INT(VLOOKUP(AK877,Equip!$A:$N,6,FALSE)*SQRT(AO877)),0)</f>
        <v>0</v>
      </c>
      <c r="AU877">
        <f>IF(AND(IFERROR(VLOOKUP(AL877,Equip!$A:$N,13,FALSE),0)&gt;=5,IFERROR(VLOOKUP(AL877,Equip!$A:$N,13,FALSE),0)&lt;=9),INT(VLOOKUP(AL877,Equip!$A:$N,6,FALSE)*SQRT(AP877)),0)</f>
        <v>0</v>
      </c>
      <c r="AV877">
        <f>IF(AND(IFERROR(VLOOKUP(AM877,Equip!$A:$N,13,FALSE),0)&gt;=5,IFERROR(VLOOKUP(AM877,Equip!$A:$N,13,FALSE),0)&lt;=9),INT(VLOOKUP(AM877,Equip!$A:$N,6,FALSE)*SQRT(AQ877)),0)</f>
        <v>0</v>
      </c>
      <c r="AW877">
        <f t="shared" si="2245"/>
        <v>0</v>
      </c>
      <c r="AX877">
        <f t="shared" si="2246"/>
        <v>205</v>
      </c>
    </row>
    <row r="878" spans="1:50">
      <c r="A878">
        <v>936</v>
      </c>
      <c r="B878" t="s">
        <v>1167</v>
      </c>
      <c r="C878" t="s">
        <v>1168</v>
      </c>
      <c r="D878">
        <v>0</v>
      </c>
      <c r="E878">
        <v>0</v>
      </c>
      <c r="F878">
        <v>0</v>
      </c>
      <c r="G878">
        <v>936</v>
      </c>
      <c r="H878">
        <v>0</v>
      </c>
      <c r="I878">
        <v>0</v>
      </c>
      <c r="J878">
        <v>0</v>
      </c>
      <c r="K878">
        <v>11</v>
      </c>
      <c r="L878">
        <v>0</v>
      </c>
      <c r="M878">
        <v>177</v>
      </c>
      <c r="N878">
        <v>177</v>
      </c>
      <c r="O878">
        <v>120</v>
      </c>
      <c r="P878">
        <v>140</v>
      </c>
      <c r="Q878">
        <v>0</v>
      </c>
      <c r="R878">
        <v>53</v>
      </c>
      <c r="S878">
        <v>85</v>
      </c>
      <c r="T878">
        <v>0</v>
      </c>
      <c r="U878">
        <v>10</v>
      </c>
      <c r="V878">
        <v>72</v>
      </c>
      <c r="W878">
        <v>2</v>
      </c>
      <c r="X878">
        <v>12</v>
      </c>
      <c r="Y878">
        <v>5</v>
      </c>
      <c r="Z878">
        <v>0</v>
      </c>
      <c r="AA878">
        <v>0</v>
      </c>
      <c r="AB878">
        <v>120</v>
      </c>
      <c r="AC878">
        <v>0</v>
      </c>
      <c r="AD878">
        <v>85</v>
      </c>
      <c r="AE878">
        <v>140</v>
      </c>
      <c r="AF878">
        <v>12</v>
      </c>
      <c r="AG878">
        <v>53</v>
      </c>
      <c r="AH878">
        <v>0</v>
      </c>
      <c r="AI878">
        <v>72</v>
      </c>
      <c r="AJ878">
        <v>548</v>
      </c>
      <c r="AK878">
        <v>524</v>
      </c>
      <c r="AL878">
        <v>549</v>
      </c>
      <c r="AM878">
        <v>561</v>
      </c>
      <c r="AN878">
        <v>36</v>
      </c>
      <c r="AO878">
        <v>36</v>
      </c>
      <c r="AP878">
        <v>45</v>
      </c>
      <c r="AQ878">
        <v>26</v>
      </c>
      <c r="AR878">
        <f t="shared" si="2255"/>
        <v>143</v>
      </c>
      <c r="AS878">
        <f>IF(AND(IFERROR(VLOOKUP(AJ878,Equip!$A:$N,13,FALSE),0)&gt;=5,IFERROR(VLOOKUP(AJ878,Equip!$A:$N,13,FALSE),0)&lt;=9),INT(VLOOKUP(AJ878,Equip!$A:$N,6,FALSE)*SQRT(AN878)),0)</f>
        <v>0</v>
      </c>
      <c r="AT878">
        <f>IF(AND(IFERROR(VLOOKUP(AK878,Equip!$A:$N,13,FALSE),0)&gt;=5,IFERROR(VLOOKUP(AK878,Equip!$A:$N,13,FALSE),0)&lt;=9),INT(VLOOKUP(AK878,Equip!$A:$N,6,FALSE)*SQRT(AO878)),0)</f>
        <v>0</v>
      </c>
      <c r="AU878">
        <f>IF(AND(IFERROR(VLOOKUP(AL878,Equip!$A:$N,13,FALSE),0)&gt;=5,IFERROR(VLOOKUP(AL878,Equip!$A:$N,13,FALSE),0)&lt;=9),INT(VLOOKUP(AL878,Equip!$A:$N,6,FALSE)*SQRT(AP878)),0)</f>
        <v>0</v>
      </c>
      <c r="AV878">
        <f>IF(AND(IFERROR(VLOOKUP(AM878,Equip!$A:$N,13,FALSE),0)&gt;=5,IFERROR(VLOOKUP(AM878,Equip!$A:$N,13,FALSE),0)&lt;=9),INT(VLOOKUP(AM878,Equip!$A:$N,6,FALSE)*SQRT(AQ878)),0)</f>
        <v>0</v>
      </c>
      <c r="AW878">
        <f t="shared" si="2245"/>
        <v>0</v>
      </c>
      <c r="AX878">
        <f t="shared" si="2246"/>
        <v>647</v>
      </c>
    </row>
    <row r="879" spans="1:50">
      <c r="A879">
        <v>937</v>
      </c>
      <c r="B879" t="s">
        <v>1169</v>
      </c>
      <c r="C879" t="s">
        <v>1170</v>
      </c>
      <c r="D879">
        <v>0</v>
      </c>
      <c r="E879">
        <v>0</v>
      </c>
      <c r="F879">
        <v>0</v>
      </c>
      <c r="G879">
        <v>937</v>
      </c>
      <c r="H879">
        <v>0</v>
      </c>
      <c r="I879">
        <v>0</v>
      </c>
      <c r="J879">
        <v>0</v>
      </c>
      <c r="K879">
        <v>11</v>
      </c>
      <c r="L879">
        <v>0</v>
      </c>
      <c r="M879">
        <v>179</v>
      </c>
      <c r="N879">
        <v>179</v>
      </c>
      <c r="O879">
        <v>120</v>
      </c>
      <c r="P879">
        <v>140</v>
      </c>
      <c r="Q879">
        <v>0</v>
      </c>
      <c r="R879">
        <v>53</v>
      </c>
      <c r="S879">
        <v>85</v>
      </c>
      <c r="T879">
        <v>0</v>
      </c>
      <c r="U879">
        <v>10</v>
      </c>
      <c r="V879">
        <v>72</v>
      </c>
      <c r="W879">
        <v>2</v>
      </c>
      <c r="X879">
        <v>12</v>
      </c>
      <c r="Y879">
        <v>5</v>
      </c>
      <c r="Z879">
        <v>0</v>
      </c>
      <c r="AA879">
        <v>0</v>
      </c>
      <c r="AB879">
        <v>120</v>
      </c>
      <c r="AC879">
        <v>0</v>
      </c>
      <c r="AD879">
        <v>85</v>
      </c>
      <c r="AE879">
        <v>140</v>
      </c>
      <c r="AF879">
        <v>12</v>
      </c>
      <c r="AG879">
        <v>53</v>
      </c>
      <c r="AH879">
        <v>0</v>
      </c>
      <c r="AI879">
        <v>72</v>
      </c>
      <c r="AJ879">
        <v>548</v>
      </c>
      <c r="AK879">
        <v>524</v>
      </c>
      <c r="AL879">
        <v>549</v>
      </c>
      <c r="AM879">
        <v>561</v>
      </c>
      <c r="AN879">
        <v>36</v>
      </c>
      <c r="AO879">
        <v>36</v>
      </c>
      <c r="AP879">
        <v>63</v>
      </c>
      <c r="AQ879">
        <v>28</v>
      </c>
      <c r="AR879">
        <f t="shared" si="2255"/>
        <v>163</v>
      </c>
      <c r="AS879">
        <f>IF(AND(IFERROR(VLOOKUP(AJ879,Equip!$A:$N,13,FALSE),0)&gt;=5,IFERROR(VLOOKUP(AJ879,Equip!$A:$N,13,FALSE),0)&lt;=9),INT(VLOOKUP(AJ879,Equip!$A:$N,6,FALSE)*SQRT(AN879)),0)</f>
        <v>0</v>
      </c>
      <c r="AT879">
        <f>IF(AND(IFERROR(VLOOKUP(AK879,Equip!$A:$N,13,FALSE),0)&gt;=5,IFERROR(VLOOKUP(AK879,Equip!$A:$N,13,FALSE),0)&lt;=9),INT(VLOOKUP(AK879,Equip!$A:$N,6,FALSE)*SQRT(AO879)),0)</f>
        <v>0</v>
      </c>
      <c r="AU879">
        <f>IF(AND(IFERROR(VLOOKUP(AL879,Equip!$A:$N,13,FALSE),0)&gt;=5,IFERROR(VLOOKUP(AL879,Equip!$A:$N,13,FALSE),0)&lt;=9),INT(VLOOKUP(AL879,Equip!$A:$N,6,FALSE)*SQRT(AP879)),0)</f>
        <v>0</v>
      </c>
      <c r="AV879">
        <f>IF(AND(IFERROR(VLOOKUP(AM879,Equip!$A:$N,13,FALSE),0)&gt;=5,IFERROR(VLOOKUP(AM879,Equip!$A:$N,13,FALSE),0)&lt;=9),INT(VLOOKUP(AM879,Equip!$A:$N,6,FALSE)*SQRT(AQ879)),0)</f>
        <v>0</v>
      </c>
      <c r="AW879">
        <f t="shared" si="2245"/>
        <v>0</v>
      </c>
      <c r="AX879">
        <f t="shared" si="2246"/>
        <v>649</v>
      </c>
    </row>
    <row r="880" spans="1:50">
      <c r="A880">
        <v>938</v>
      </c>
      <c r="B880" t="s">
        <v>1171</v>
      </c>
      <c r="C880" t="s">
        <v>1172</v>
      </c>
      <c r="D880">
        <v>0</v>
      </c>
      <c r="E880">
        <v>0</v>
      </c>
      <c r="F880">
        <v>0</v>
      </c>
      <c r="G880">
        <v>938</v>
      </c>
      <c r="H880">
        <v>0</v>
      </c>
      <c r="I880">
        <v>0</v>
      </c>
      <c r="J880">
        <v>0</v>
      </c>
      <c r="K880">
        <v>11</v>
      </c>
      <c r="L880">
        <v>0</v>
      </c>
      <c r="M880">
        <v>312</v>
      </c>
      <c r="N880">
        <v>312</v>
      </c>
      <c r="O880">
        <v>140</v>
      </c>
      <c r="P880">
        <v>140</v>
      </c>
      <c r="Q880">
        <v>0</v>
      </c>
      <c r="R880">
        <v>78</v>
      </c>
      <c r="S880">
        <v>108</v>
      </c>
      <c r="T880">
        <v>0</v>
      </c>
      <c r="U880">
        <v>10</v>
      </c>
      <c r="V880">
        <v>90</v>
      </c>
      <c r="W880">
        <v>3</v>
      </c>
      <c r="X880">
        <v>24</v>
      </c>
      <c r="Y880">
        <v>15</v>
      </c>
      <c r="Z880">
        <v>0</v>
      </c>
      <c r="AA880">
        <v>0</v>
      </c>
      <c r="AB880">
        <v>140</v>
      </c>
      <c r="AC880">
        <v>0</v>
      </c>
      <c r="AD880">
        <v>108</v>
      </c>
      <c r="AE880">
        <v>140</v>
      </c>
      <c r="AF880">
        <v>24</v>
      </c>
      <c r="AG880">
        <v>78</v>
      </c>
      <c r="AH880">
        <v>0</v>
      </c>
      <c r="AI880">
        <v>90</v>
      </c>
      <c r="AJ880">
        <v>557</v>
      </c>
      <c r="AK880">
        <v>557</v>
      </c>
      <c r="AL880">
        <v>558</v>
      </c>
      <c r="AM880">
        <v>556</v>
      </c>
      <c r="AN880">
        <v>72</v>
      </c>
      <c r="AO880">
        <v>72</v>
      </c>
      <c r="AP880">
        <v>98</v>
      </c>
      <c r="AQ880">
        <v>54</v>
      </c>
      <c r="AR880">
        <f t="shared" si="2255"/>
        <v>296</v>
      </c>
      <c r="AS880">
        <f>IF(AND(IFERROR(VLOOKUP(AJ880,Equip!$A:$N,13,FALSE),0)&gt;=5,IFERROR(VLOOKUP(AJ880,Equip!$A:$N,13,FALSE),0)&lt;=9),INT(VLOOKUP(AJ880,Equip!$A:$N,6,FALSE)*SQRT(AN880)),0)</f>
        <v>0</v>
      </c>
      <c r="AT880">
        <f>IF(AND(IFERROR(VLOOKUP(AK880,Equip!$A:$N,13,FALSE),0)&gt;=5,IFERROR(VLOOKUP(AK880,Equip!$A:$N,13,FALSE),0)&lt;=9),INT(VLOOKUP(AK880,Equip!$A:$N,6,FALSE)*SQRT(AO880)),0)</f>
        <v>0</v>
      </c>
      <c r="AU880">
        <f>IF(AND(IFERROR(VLOOKUP(AL880,Equip!$A:$N,13,FALSE),0)&gt;=5,IFERROR(VLOOKUP(AL880,Equip!$A:$N,13,FALSE),0)&lt;=9),INT(VLOOKUP(AL880,Equip!$A:$N,6,FALSE)*SQRT(AP880)),0)</f>
        <v>0</v>
      </c>
      <c r="AV880">
        <f>IF(AND(IFERROR(VLOOKUP(AM880,Equip!$A:$N,13,FALSE),0)&gt;=5,IFERROR(VLOOKUP(AM880,Equip!$A:$N,13,FALSE),0)&lt;=9),INT(VLOOKUP(AM880,Equip!$A:$N,6,FALSE)*SQRT(AQ880)),0)</f>
        <v>0</v>
      </c>
      <c r="AW880">
        <f t="shared" si="2245"/>
        <v>0</v>
      </c>
      <c r="AX880">
        <f t="shared" si="2246"/>
        <v>868</v>
      </c>
    </row>
    <row r="881" spans="1:50">
      <c r="A881">
        <v>939</v>
      </c>
      <c r="B881" t="s">
        <v>1171</v>
      </c>
      <c r="C881" t="s">
        <v>1172</v>
      </c>
      <c r="D881">
        <v>0</v>
      </c>
      <c r="E881">
        <v>0</v>
      </c>
      <c r="F881">
        <v>0</v>
      </c>
      <c r="G881">
        <v>938</v>
      </c>
      <c r="H881">
        <v>0</v>
      </c>
      <c r="I881">
        <v>0</v>
      </c>
      <c r="J881">
        <v>0</v>
      </c>
      <c r="K881">
        <v>11</v>
      </c>
      <c r="L881">
        <v>0</v>
      </c>
      <c r="M881">
        <v>312</v>
      </c>
      <c r="N881">
        <v>312</v>
      </c>
      <c r="O881">
        <v>180</v>
      </c>
      <c r="P881">
        <v>180</v>
      </c>
      <c r="Q881">
        <v>0</v>
      </c>
      <c r="R881">
        <v>98</v>
      </c>
      <c r="S881">
        <v>138</v>
      </c>
      <c r="T881">
        <v>0</v>
      </c>
      <c r="U881">
        <v>10</v>
      </c>
      <c r="V881">
        <v>90</v>
      </c>
      <c r="W881">
        <v>3</v>
      </c>
      <c r="X881">
        <v>24</v>
      </c>
      <c r="Y881">
        <v>15</v>
      </c>
      <c r="Z881">
        <v>0</v>
      </c>
      <c r="AA881">
        <v>0</v>
      </c>
      <c r="AB881">
        <v>180</v>
      </c>
      <c r="AC881">
        <v>0</v>
      </c>
      <c r="AD881">
        <v>138</v>
      </c>
      <c r="AE881">
        <v>180</v>
      </c>
      <c r="AF881">
        <v>24</v>
      </c>
      <c r="AG881">
        <v>98</v>
      </c>
      <c r="AH881">
        <v>0</v>
      </c>
      <c r="AI881">
        <v>90</v>
      </c>
      <c r="AJ881">
        <v>557</v>
      </c>
      <c r="AK881">
        <v>557</v>
      </c>
      <c r="AL881">
        <v>558</v>
      </c>
      <c r="AM881">
        <v>561</v>
      </c>
      <c r="AN881">
        <v>72</v>
      </c>
      <c r="AO881">
        <v>72</v>
      </c>
      <c r="AP881">
        <v>98</v>
      </c>
      <c r="AQ881">
        <v>54</v>
      </c>
      <c r="AR881">
        <f t="shared" si="2255"/>
        <v>296</v>
      </c>
      <c r="AS881">
        <f>IF(AND(IFERROR(VLOOKUP(AJ881,Equip!$A:$N,13,FALSE),0)&gt;=5,IFERROR(VLOOKUP(AJ881,Equip!$A:$N,13,FALSE),0)&lt;=9),INT(VLOOKUP(AJ881,Equip!$A:$N,6,FALSE)*SQRT(AN881)),0)</f>
        <v>0</v>
      </c>
      <c r="AT881">
        <f>IF(AND(IFERROR(VLOOKUP(AK881,Equip!$A:$N,13,FALSE),0)&gt;=5,IFERROR(VLOOKUP(AK881,Equip!$A:$N,13,FALSE),0)&lt;=9),INT(VLOOKUP(AK881,Equip!$A:$N,6,FALSE)*SQRT(AO881)),0)</f>
        <v>0</v>
      </c>
      <c r="AU881">
        <f>IF(AND(IFERROR(VLOOKUP(AL881,Equip!$A:$N,13,FALSE),0)&gt;=5,IFERROR(VLOOKUP(AL881,Equip!$A:$N,13,FALSE),0)&lt;=9),INT(VLOOKUP(AL881,Equip!$A:$N,6,FALSE)*SQRT(AP881)),0)</f>
        <v>0</v>
      </c>
      <c r="AV881">
        <f>IF(AND(IFERROR(VLOOKUP(AM881,Equip!$A:$N,13,FALSE),0)&gt;=5,IFERROR(VLOOKUP(AM881,Equip!$A:$N,13,FALSE),0)&lt;=9),INT(VLOOKUP(AM881,Equip!$A:$N,6,FALSE)*SQRT(AQ881)),0)</f>
        <v>0</v>
      </c>
      <c r="AW881">
        <f t="shared" si="2245"/>
        <v>0</v>
      </c>
      <c r="AX881">
        <f t="shared" si="2246"/>
        <v>998</v>
      </c>
    </row>
    <row r="882" spans="1:50">
      <c r="A882">
        <v>941</v>
      </c>
      <c r="B882" t="s">
        <v>1173</v>
      </c>
      <c r="C882" t="s">
        <v>1173</v>
      </c>
      <c r="D882">
        <v>0</v>
      </c>
      <c r="E882">
        <v>0</v>
      </c>
      <c r="F882">
        <v>0</v>
      </c>
      <c r="G882">
        <v>941</v>
      </c>
      <c r="H882">
        <v>0</v>
      </c>
      <c r="I882">
        <v>0</v>
      </c>
      <c r="J882">
        <v>0</v>
      </c>
      <c r="K882">
        <v>8</v>
      </c>
      <c r="L882">
        <v>10</v>
      </c>
      <c r="M882">
        <v>100</v>
      </c>
      <c r="N882">
        <v>100</v>
      </c>
      <c r="O882">
        <v>60</v>
      </c>
      <c r="P882">
        <v>80</v>
      </c>
      <c r="Q882">
        <v>0</v>
      </c>
      <c r="R882">
        <v>20</v>
      </c>
      <c r="S882">
        <v>70</v>
      </c>
      <c r="T882">
        <v>0</v>
      </c>
      <c r="U882">
        <v>10</v>
      </c>
      <c r="V882">
        <v>25</v>
      </c>
      <c r="W882">
        <v>3</v>
      </c>
      <c r="X882">
        <v>10</v>
      </c>
      <c r="Y882">
        <v>0</v>
      </c>
      <c r="Z882">
        <v>0</v>
      </c>
      <c r="AA882">
        <v>0</v>
      </c>
      <c r="AB882">
        <v>60</v>
      </c>
      <c r="AC882">
        <v>0</v>
      </c>
      <c r="AD882">
        <v>70</v>
      </c>
      <c r="AE882">
        <v>80</v>
      </c>
      <c r="AF882">
        <v>10</v>
      </c>
      <c r="AG882">
        <v>20</v>
      </c>
      <c r="AH882">
        <v>0</v>
      </c>
      <c r="AI882">
        <v>25</v>
      </c>
      <c r="AJ882">
        <v>508</v>
      </c>
      <c r="AK882">
        <v>508</v>
      </c>
      <c r="AL882">
        <v>512</v>
      </c>
      <c r="AM882">
        <v>525</v>
      </c>
      <c r="AN882">
        <v>4</v>
      </c>
      <c r="AO882">
        <v>4</v>
      </c>
      <c r="AP882">
        <v>4</v>
      </c>
      <c r="AQ882">
        <v>4</v>
      </c>
      <c r="AR882">
        <f t="shared" si="2255"/>
        <v>16</v>
      </c>
      <c r="AS882">
        <f>IF(AND(IFERROR(VLOOKUP(AJ882,Equip!$A:$N,13,FALSE),0)&gt;=5,IFERROR(VLOOKUP(AJ882,Equip!$A:$N,13,FALSE),0)&lt;=9),INT(VLOOKUP(AJ882,Equip!$A:$N,6,FALSE)*SQRT(AN882)),0)</f>
        <v>0</v>
      </c>
      <c r="AT882">
        <f>IF(AND(IFERROR(VLOOKUP(AK882,Equip!$A:$N,13,FALSE),0)&gt;=5,IFERROR(VLOOKUP(AK882,Equip!$A:$N,13,FALSE),0)&lt;=9),INT(VLOOKUP(AK882,Equip!$A:$N,6,FALSE)*SQRT(AO882)),0)</f>
        <v>0</v>
      </c>
      <c r="AU882">
        <f>IF(AND(IFERROR(VLOOKUP(AL882,Equip!$A:$N,13,FALSE),0)&gt;=5,IFERROR(VLOOKUP(AL882,Equip!$A:$N,13,FALSE),0)&lt;=9),INT(VLOOKUP(AL882,Equip!$A:$N,6,FALSE)*SQRT(AP882)),0)</f>
        <v>0</v>
      </c>
      <c r="AV882">
        <f>IF(AND(IFERROR(VLOOKUP(AM882,Equip!$A:$N,13,FALSE),0)&gt;=5,IFERROR(VLOOKUP(AM882,Equip!$A:$N,13,FALSE),0)&lt;=9),INT(VLOOKUP(AM882,Equip!$A:$N,6,FALSE)*SQRT(AQ882)),0)</f>
        <v>0</v>
      </c>
      <c r="AW882">
        <f t="shared" si="2245"/>
        <v>0</v>
      </c>
      <c r="AX882">
        <f t="shared" si="2246"/>
        <v>355</v>
      </c>
    </row>
    <row r="883" spans="1:50">
      <c r="A883">
        <v>942</v>
      </c>
      <c r="B883" t="s">
        <v>1174</v>
      </c>
      <c r="C883" t="s">
        <v>1174</v>
      </c>
      <c r="D883">
        <v>0</v>
      </c>
      <c r="E883">
        <v>0</v>
      </c>
      <c r="F883">
        <v>0</v>
      </c>
      <c r="G883">
        <v>941</v>
      </c>
      <c r="H883">
        <v>0</v>
      </c>
      <c r="I883">
        <v>0</v>
      </c>
      <c r="J883">
        <v>0</v>
      </c>
      <c r="K883">
        <v>8</v>
      </c>
      <c r="L883">
        <v>10</v>
      </c>
      <c r="M883">
        <v>104</v>
      </c>
      <c r="N883">
        <v>104</v>
      </c>
      <c r="O883">
        <v>75</v>
      </c>
      <c r="P883">
        <v>88</v>
      </c>
      <c r="Q883">
        <v>0</v>
      </c>
      <c r="R883">
        <v>40</v>
      </c>
      <c r="S883">
        <v>65</v>
      </c>
      <c r="T883">
        <v>0</v>
      </c>
      <c r="U883">
        <v>10</v>
      </c>
      <c r="V883">
        <v>30</v>
      </c>
      <c r="W883">
        <v>3</v>
      </c>
      <c r="X883">
        <v>20</v>
      </c>
      <c r="Y883">
        <v>0</v>
      </c>
      <c r="Z883">
        <v>0</v>
      </c>
      <c r="AA883">
        <v>0</v>
      </c>
      <c r="AB883">
        <v>75</v>
      </c>
      <c r="AC883">
        <v>0</v>
      </c>
      <c r="AD883">
        <v>65</v>
      </c>
      <c r="AE883">
        <v>88</v>
      </c>
      <c r="AF883">
        <v>20</v>
      </c>
      <c r="AG883">
        <v>40</v>
      </c>
      <c r="AH883">
        <v>0</v>
      </c>
      <c r="AI883">
        <v>30</v>
      </c>
      <c r="AJ883">
        <v>509</v>
      </c>
      <c r="AK883">
        <v>508</v>
      </c>
      <c r="AL883">
        <v>512</v>
      </c>
      <c r="AM883">
        <v>528</v>
      </c>
      <c r="AN883">
        <v>4</v>
      </c>
      <c r="AO883">
        <v>4</v>
      </c>
      <c r="AP883">
        <v>4</v>
      </c>
      <c r="AQ883">
        <v>4</v>
      </c>
      <c r="AR883">
        <f t="shared" si="2255"/>
        <v>16</v>
      </c>
      <c r="AS883">
        <f>IF(AND(IFERROR(VLOOKUP(AJ883,Equip!$A:$N,13,FALSE),0)&gt;=5,IFERROR(VLOOKUP(AJ883,Equip!$A:$N,13,FALSE),0)&lt;=9),INT(VLOOKUP(AJ883,Equip!$A:$N,6,FALSE)*SQRT(AN883)),0)</f>
        <v>0</v>
      </c>
      <c r="AT883">
        <f>IF(AND(IFERROR(VLOOKUP(AK883,Equip!$A:$N,13,FALSE),0)&gt;=5,IFERROR(VLOOKUP(AK883,Equip!$A:$N,13,FALSE),0)&lt;=9),INT(VLOOKUP(AK883,Equip!$A:$N,6,FALSE)*SQRT(AO883)),0)</f>
        <v>0</v>
      </c>
      <c r="AU883">
        <f>IF(AND(IFERROR(VLOOKUP(AL883,Equip!$A:$N,13,FALSE),0)&gt;=5,IFERROR(VLOOKUP(AL883,Equip!$A:$N,13,FALSE),0)&lt;=9),INT(VLOOKUP(AL883,Equip!$A:$N,6,FALSE)*SQRT(AP883)),0)</f>
        <v>0</v>
      </c>
      <c r="AV883">
        <f>IF(AND(IFERROR(VLOOKUP(AM883,Equip!$A:$N,13,FALSE),0)&gt;=5,IFERROR(VLOOKUP(AM883,Equip!$A:$N,13,FALSE),0)&lt;=9),INT(VLOOKUP(AM883,Equip!$A:$N,6,FALSE)*SQRT(AQ883)),0)</f>
        <v>0</v>
      </c>
      <c r="AW883">
        <f t="shared" si="2245"/>
        <v>0</v>
      </c>
      <c r="AX883">
        <f t="shared" si="2246"/>
        <v>402</v>
      </c>
    </row>
    <row r="884" spans="1:50">
      <c r="A884">
        <v>943</v>
      </c>
      <c r="B884" t="s">
        <v>1175</v>
      </c>
      <c r="C884" t="s">
        <v>1175</v>
      </c>
      <c r="D884">
        <v>0</v>
      </c>
      <c r="E884">
        <v>0</v>
      </c>
      <c r="F884">
        <v>0</v>
      </c>
      <c r="G884">
        <v>941</v>
      </c>
      <c r="H884">
        <v>0</v>
      </c>
      <c r="I884">
        <v>0</v>
      </c>
      <c r="J884">
        <v>0</v>
      </c>
      <c r="K884">
        <v>8</v>
      </c>
      <c r="L884">
        <v>10</v>
      </c>
      <c r="M884">
        <v>106</v>
      </c>
      <c r="N884">
        <v>106</v>
      </c>
      <c r="O884">
        <v>85</v>
      </c>
      <c r="P884">
        <v>96</v>
      </c>
      <c r="Q884">
        <v>0</v>
      </c>
      <c r="R884">
        <v>55</v>
      </c>
      <c r="S884">
        <v>70</v>
      </c>
      <c r="T884">
        <v>0</v>
      </c>
      <c r="U884">
        <v>10</v>
      </c>
      <c r="V884">
        <v>35</v>
      </c>
      <c r="W884">
        <v>3</v>
      </c>
      <c r="X884">
        <v>30</v>
      </c>
      <c r="Y884">
        <v>5</v>
      </c>
      <c r="Z884">
        <v>0</v>
      </c>
      <c r="AA884">
        <v>0</v>
      </c>
      <c r="AB884">
        <v>85</v>
      </c>
      <c r="AC884">
        <v>0</v>
      </c>
      <c r="AD884">
        <v>70</v>
      </c>
      <c r="AE884">
        <v>96</v>
      </c>
      <c r="AF884">
        <v>30</v>
      </c>
      <c r="AG884">
        <v>55</v>
      </c>
      <c r="AH884">
        <v>0</v>
      </c>
      <c r="AI884">
        <v>35</v>
      </c>
      <c r="AJ884">
        <v>509</v>
      </c>
      <c r="AK884">
        <v>509</v>
      </c>
      <c r="AL884">
        <v>525</v>
      </c>
      <c r="AM884">
        <v>529</v>
      </c>
      <c r="AN884">
        <v>4</v>
      </c>
      <c r="AO884">
        <v>4</v>
      </c>
      <c r="AP884">
        <v>4</v>
      </c>
      <c r="AQ884">
        <v>4</v>
      </c>
      <c r="AR884">
        <f t="shared" si="2255"/>
        <v>16</v>
      </c>
      <c r="AS884">
        <f>IF(AND(IFERROR(VLOOKUP(AJ884,Equip!$A:$N,13,FALSE),0)&gt;=5,IFERROR(VLOOKUP(AJ884,Equip!$A:$N,13,FALSE),0)&lt;=9),INT(VLOOKUP(AJ884,Equip!$A:$N,6,FALSE)*SQRT(AN884)),0)</f>
        <v>0</v>
      </c>
      <c r="AT884">
        <f>IF(AND(IFERROR(VLOOKUP(AK884,Equip!$A:$N,13,FALSE),0)&gt;=5,IFERROR(VLOOKUP(AK884,Equip!$A:$N,13,FALSE),0)&lt;=9),INT(VLOOKUP(AK884,Equip!$A:$N,6,FALSE)*SQRT(AO884)),0)</f>
        <v>0</v>
      </c>
      <c r="AU884">
        <f>IF(AND(IFERROR(VLOOKUP(AL884,Equip!$A:$N,13,FALSE),0)&gt;=5,IFERROR(VLOOKUP(AL884,Equip!$A:$N,13,FALSE),0)&lt;=9),INT(VLOOKUP(AL884,Equip!$A:$N,6,FALSE)*SQRT(AP884)),0)</f>
        <v>0</v>
      </c>
      <c r="AV884">
        <f>IF(AND(IFERROR(VLOOKUP(AM884,Equip!$A:$N,13,FALSE),0)&gt;=5,IFERROR(VLOOKUP(AM884,Equip!$A:$N,13,FALSE),0)&lt;=9),INT(VLOOKUP(AM884,Equip!$A:$N,6,FALSE)*SQRT(AQ884)),0)</f>
        <v>0</v>
      </c>
      <c r="AW884">
        <f t="shared" si="2245"/>
        <v>0</v>
      </c>
      <c r="AX884">
        <f t="shared" si="2246"/>
        <v>447</v>
      </c>
    </row>
    <row r="885" spans="1:50">
      <c r="A885">
        <v>946</v>
      </c>
      <c r="B885" t="s">
        <v>1176</v>
      </c>
      <c r="C885" t="s">
        <v>1177</v>
      </c>
      <c r="D885">
        <v>0</v>
      </c>
      <c r="E885">
        <v>0</v>
      </c>
      <c r="F885">
        <v>0</v>
      </c>
      <c r="G885">
        <v>946</v>
      </c>
      <c r="H885">
        <v>0</v>
      </c>
      <c r="I885">
        <v>0</v>
      </c>
      <c r="J885">
        <v>0</v>
      </c>
      <c r="K885">
        <v>1</v>
      </c>
      <c r="L885">
        <v>0</v>
      </c>
      <c r="M885">
        <v>1800</v>
      </c>
      <c r="N885">
        <v>1800</v>
      </c>
      <c r="O885">
        <v>180</v>
      </c>
      <c r="P885">
        <v>180</v>
      </c>
      <c r="Q885">
        <v>0</v>
      </c>
      <c r="R885">
        <v>81</v>
      </c>
      <c r="S885">
        <v>150</v>
      </c>
      <c r="T885">
        <v>0</v>
      </c>
      <c r="U885">
        <v>10</v>
      </c>
      <c r="V885">
        <v>81</v>
      </c>
      <c r="W885">
        <v>1</v>
      </c>
      <c r="X885">
        <v>59</v>
      </c>
      <c r="Y885">
        <v>10</v>
      </c>
      <c r="Z885">
        <v>0</v>
      </c>
      <c r="AA885">
        <v>0</v>
      </c>
      <c r="AB885">
        <v>180</v>
      </c>
      <c r="AC885">
        <v>0</v>
      </c>
      <c r="AD885">
        <v>150</v>
      </c>
      <c r="AE885">
        <v>180</v>
      </c>
      <c r="AF885">
        <v>59</v>
      </c>
      <c r="AG885">
        <v>81</v>
      </c>
      <c r="AH885">
        <v>0</v>
      </c>
      <c r="AI885">
        <v>81</v>
      </c>
      <c r="AJ885">
        <v>574</v>
      </c>
      <c r="AK885">
        <v>549</v>
      </c>
      <c r="AL885">
        <v>561</v>
      </c>
      <c r="AM885">
        <v>548</v>
      </c>
      <c r="AN885">
        <v>72</v>
      </c>
      <c r="AO885">
        <v>72</v>
      </c>
      <c r="AP885">
        <v>72</v>
      </c>
      <c r="AQ885">
        <v>40</v>
      </c>
      <c r="AR885">
        <f t="shared" si="2255"/>
        <v>256</v>
      </c>
      <c r="AS885">
        <f>IF(AND(IFERROR(VLOOKUP(AJ885,Equip!$A:$N,13,FALSE),0)&gt;=5,IFERROR(VLOOKUP(AJ885,Equip!$A:$N,13,FALSE),0)&lt;=9),INT(VLOOKUP(AJ885,Equip!$A:$N,6,FALSE)*SQRT(AN885)),0)</f>
        <v>0</v>
      </c>
      <c r="AT885">
        <f>IF(AND(IFERROR(VLOOKUP(AK885,Equip!$A:$N,13,FALSE),0)&gt;=5,IFERROR(VLOOKUP(AK885,Equip!$A:$N,13,FALSE),0)&lt;=9),INT(VLOOKUP(AK885,Equip!$A:$N,6,FALSE)*SQRT(AO885)),0)</f>
        <v>0</v>
      </c>
      <c r="AU885">
        <f>IF(AND(IFERROR(VLOOKUP(AL885,Equip!$A:$N,13,FALSE),0)&gt;=5,IFERROR(VLOOKUP(AL885,Equip!$A:$N,13,FALSE),0)&lt;=9),INT(VLOOKUP(AL885,Equip!$A:$N,6,FALSE)*SQRT(AP885)),0)</f>
        <v>0</v>
      </c>
      <c r="AV885">
        <f>IF(AND(IFERROR(VLOOKUP(AM885,Equip!$A:$N,13,FALSE),0)&gt;=5,IFERROR(VLOOKUP(AM885,Equip!$A:$N,13,FALSE),0)&lt;=9),INT(VLOOKUP(AM885,Equip!$A:$N,6,FALSE)*SQRT(AQ885)),0)</f>
        <v>0</v>
      </c>
      <c r="AW885">
        <f t="shared" si="2245"/>
        <v>0</v>
      </c>
      <c r="AX885">
        <f t="shared" si="2246"/>
        <v>2472</v>
      </c>
    </row>
    <row r="886" spans="1:50">
      <c r="A886">
        <v>947</v>
      </c>
      <c r="B886" t="s">
        <v>1178</v>
      </c>
      <c r="C886" t="s">
        <v>1179</v>
      </c>
      <c r="D886">
        <v>0</v>
      </c>
      <c r="E886">
        <v>0</v>
      </c>
      <c r="F886">
        <v>0</v>
      </c>
      <c r="G886">
        <v>947</v>
      </c>
      <c r="H886">
        <v>0</v>
      </c>
      <c r="I886">
        <v>0</v>
      </c>
      <c r="J886">
        <v>0</v>
      </c>
      <c r="K886">
        <v>8</v>
      </c>
      <c r="L886">
        <v>0</v>
      </c>
      <c r="M886">
        <v>299</v>
      </c>
      <c r="N886">
        <v>299</v>
      </c>
      <c r="O886">
        <v>226</v>
      </c>
      <c r="P886">
        <v>153</v>
      </c>
      <c r="Q886">
        <v>0</v>
      </c>
      <c r="R886">
        <v>99</v>
      </c>
      <c r="S886">
        <v>188</v>
      </c>
      <c r="T886">
        <v>0</v>
      </c>
      <c r="U886">
        <v>10</v>
      </c>
      <c r="V886">
        <v>62</v>
      </c>
      <c r="W886">
        <v>4</v>
      </c>
      <c r="X886">
        <v>13</v>
      </c>
      <c r="Y886">
        <v>10</v>
      </c>
      <c r="Z886">
        <v>0</v>
      </c>
      <c r="AA886">
        <v>0</v>
      </c>
      <c r="AB886">
        <v>226</v>
      </c>
      <c r="AC886">
        <v>0</v>
      </c>
      <c r="AD886">
        <v>188</v>
      </c>
      <c r="AE886">
        <v>153</v>
      </c>
      <c r="AF886">
        <v>13</v>
      </c>
      <c r="AG886">
        <v>99</v>
      </c>
      <c r="AH886">
        <v>0</v>
      </c>
      <c r="AI886">
        <v>62</v>
      </c>
      <c r="AJ886">
        <v>576</v>
      </c>
      <c r="AK886">
        <v>576</v>
      </c>
      <c r="AL886">
        <v>531</v>
      </c>
      <c r="AM886">
        <v>525</v>
      </c>
      <c r="AN886">
        <v>7</v>
      </c>
      <c r="AO886">
        <v>7</v>
      </c>
      <c r="AP886">
        <v>7</v>
      </c>
      <c r="AQ886">
        <v>7</v>
      </c>
      <c r="AR886">
        <f t="shared" si="2255"/>
        <v>28</v>
      </c>
      <c r="AS886">
        <f>IF(AND(IFERROR(VLOOKUP(AJ886,Equip!$A:$N,13,FALSE),0)&gt;=5,IFERROR(VLOOKUP(AJ886,Equip!$A:$N,13,FALSE),0)&lt;=9),INT(VLOOKUP(AJ886,Equip!$A:$N,6,FALSE)*SQRT(AN886)),0)</f>
        <v>0</v>
      </c>
      <c r="AT886">
        <f>IF(AND(IFERROR(VLOOKUP(AK886,Equip!$A:$N,13,FALSE),0)&gt;=5,IFERROR(VLOOKUP(AK886,Equip!$A:$N,13,FALSE),0)&lt;=9),INT(VLOOKUP(AK886,Equip!$A:$N,6,FALSE)*SQRT(AO886)),0)</f>
        <v>0</v>
      </c>
      <c r="AU886">
        <f>IF(AND(IFERROR(VLOOKUP(AL886,Equip!$A:$N,13,FALSE),0)&gt;=5,IFERROR(VLOOKUP(AL886,Equip!$A:$N,13,FALSE),0)&lt;=9),INT(VLOOKUP(AL886,Equip!$A:$N,6,FALSE)*SQRT(AP886)),0)</f>
        <v>0</v>
      </c>
      <c r="AV886">
        <f>IF(AND(IFERROR(VLOOKUP(AM886,Equip!$A:$N,13,FALSE),0)&gt;=5,IFERROR(VLOOKUP(AM886,Equip!$A:$N,13,FALSE),0)&lt;=9),INT(VLOOKUP(AM886,Equip!$A:$N,6,FALSE)*SQRT(AQ886)),0)</f>
        <v>0</v>
      </c>
      <c r="AW886">
        <f t="shared" si="2245"/>
        <v>0</v>
      </c>
      <c r="AX886">
        <f t="shared" si="2246"/>
        <v>1027</v>
      </c>
    </row>
    <row r="887" spans="1:50">
      <c r="A887">
        <v>948</v>
      </c>
      <c r="B887" t="s">
        <v>1180</v>
      </c>
      <c r="C887" t="s">
        <v>1181</v>
      </c>
      <c r="D887">
        <v>0</v>
      </c>
      <c r="E887">
        <v>0</v>
      </c>
      <c r="F887">
        <v>0</v>
      </c>
      <c r="G887">
        <v>948</v>
      </c>
      <c r="H887">
        <v>0</v>
      </c>
      <c r="I887">
        <v>0</v>
      </c>
      <c r="J887">
        <v>0</v>
      </c>
      <c r="K887">
        <v>11</v>
      </c>
      <c r="L887">
        <v>0</v>
      </c>
      <c r="M887">
        <v>215</v>
      </c>
      <c r="N887">
        <v>215</v>
      </c>
      <c r="O887">
        <v>133</v>
      </c>
      <c r="P887">
        <v>146</v>
      </c>
      <c r="Q887">
        <v>0</v>
      </c>
      <c r="R887">
        <v>58</v>
      </c>
      <c r="S887">
        <v>120</v>
      </c>
      <c r="T887">
        <v>0</v>
      </c>
      <c r="U887">
        <v>10</v>
      </c>
      <c r="V887">
        <v>81</v>
      </c>
      <c r="W887">
        <v>2</v>
      </c>
      <c r="X887">
        <v>12</v>
      </c>
      <c r="Y887">
        <v>10</v>
      </c>
      <c r="Z887">
        <v>0</v>
      </c>
      <c r="AA887">
        <v>0</v>
      </c>
      <c r="AB887">
        <v>133</v>
      </c>
      <c r="AC887">
        <v>0</v>
      </c>
      <c r="AD887">
        <v>120</v>
      </c>
      <c r="AE887">
        <v>146</v>
      </c>
      <c r="AF887">
        <v>12</v>
      </c>
      <c r="AG887">
        <v>58</v>
      </c>
      <c r="AH887">
        <v>0</v>
      </c>
      <c r="AI887">
        <v>81</v>
      </c>
      <c r="AJ887">
        <v>548</v>
      </c>
      <c r="AK887">
        <v>548</v>
      </c>
      <c r="AL887">
        <v>561</v>
      </c>
      <c r="AM887">
        <v>520</v>
      </c>
      <c r="AN887">
        <v>48</v>
      </c>
      <c r="AO887">
        <v>48</v>
      </c>
      <c r="AP887">
        <v>48</v>
      </c>
      <c r="AQ887">
        <v>24</v>
      </c>
      <c r="AR887">
        <f t="shared" si="2255"/>
        <v>168</v>
      </c>
      <c r="AS887">
        <f>IF(AND(IFERROR(VLOOKUP(AJ887,Equip!$A:$N,13,FALSE),0)&gt;=5,IFERROR(VLOOKUP(AJ887,Equip!$A:$N,13,FALSE),0)&lt;=9),INT(VLOOKUP(AJ887,Equip!$A:$N,6,FALSE)*SQRT(AN887)),0)</f>
        <v>0</v>
      </c>
      <c r="AT887">
        <f>IF(AND(IFERROR(VLOOKUP(AK887,Equip!$A:$N,13,FALSE),0)&gt;=5,IFERROR(VLOOKUP(AK887,Equip!$A:$N,13,FALSE),0)&lt;=9),INT(VLOOKUP(AK887,Equip!$A:$N,6,FALSE)*SQRT(AO887)),0)</f>
        <v>0</v>
      </c>
      <c r="AU887">
        <f>IF(AND(IFERROR(VLOOKUP(AL887,Equip!$A:$N,13,FALSE),0)&gt;=5,IFERROR(VLOOKUP(AL887,Equip!$A:$N,13,FALSE),0)&lt;=9),INT(VLOOKUP(AL887,Equip!$A:$N,6,FALSE)*SQRT(AP887)),0)</f>
        <v>0</v>
      </c>
      <c r="AV887">
        <f>IF(AND(IFERROR(VLOOKUP(AM887,Equip!$A:$N,13,FALSE),0)&gt;=5,IFERROR(VLOOKUP(AM887,Equip!$A:$N,13,FALSE),0)&lt;=9),INT(VLOOKUP(AM887,Equip!$A:$N,6,FALSE)*SQRT(AQ887)),0)</f>
        <v>0</v>
      </c>
      <c r="AW887">
        <f t="shared" si="2245"/>
        <v>0</v>
      </c>
      <c r="AX887">
        <f t="shared" si="2246"/>
        <v>753</v>
      </c>
    </row>
    <row r="888" spans="1:50">
      <c r="A888">
        <v>949</v>
      </c>
      <c r="B888" t="s">
        <v>1182</v>
      </c>
      <c r="C888" t="s">
        <v>1183</v>
      </c>
      <c r="D888">
        <v>0</v>
      </c>
      <c r="E888">
        <v>0</v>
      </c>
      <c r="F888">
        <v>0</v>
      </c>
      <c r="G888">
        <v>949</v>
      </c>
      <c r="H888">
        <v>0</v>
      </c>
      <c r="I888">
        <v>0</v>
      </c>
      <c r="J888">
        <v>0</v>
      </c>
      <c r="K888">
        <v>11</v>
      </c>
      <c r="L888">
        <v>0</v>
      </c>
      <c r="M888">
        <v>233</v>
      </c>
      <c r="N888">
        <v>233</v>
      </c>
      <c r="O888">
        <v>133</v>
      </c>
      <c r="P888">
        <v>146</v>
      </c>
      <c r="Q888">
        <v>0</v>
      </c>
      <c r="R888">
        <v>58</v>
      </c>
      <c r="S888">
        <v>120</v>
      </c>
      <c r="T888">
        <v>0</v>
      </c>
      <c r="U888">
        <v>10</v>
      </c>
      <c r="V888">
        <v>81</v>
      </c>
      <c r="W888">
        <v>2</v>
      </c>
      <c r="X888">
        <v>42</v>
      </c>
      <c r="Y888">
        <v>10</v>
      </c>
      <c r="Z888">
        <v>0</v>
      </c>
      <c r="AA888">
        <v>0</v>
      </c>
      <c r="AB888">
        <v>133</v>
      </c>
      <c r="AC888">
        <v>0</v>
      </c>
      <c r="AD888">
        <v>120</v>
      </c>
      <c r="AE888">
        <v>146</v>
      </c>
      <c r="AF888">
        <v>42</v>
      </c>
      <c r="AG888">
        <v>58</v>
      </c>
      <c r="AH888">
        <v>0</v>
      </c>
      <c r="AI888">
        <v>81</v>
      </c>
      <c r="AJ888">
        <v>548</v>
      </c>
      <c r="AK888">
        <v>548</v>
      </c>
      <c r="AL888">
        <v>561</v>
      </c>
      <c r="AM888">
        <v>520</v>
      </c>
      <c r="AN888">
        <v>48</v>
      </c>
      <c r="AO888">
        <v>48</v>
      </c>
      <c r="AP888">
        <v>48</v>
      </c>
      <c r="AQ888">
        <v>24</v>
      </c>
      <c r="AR888">
        <f t="shared" si="2255"/>
        <v>168</v>
      </c>
      <c r="AS888">
        <f>IF(AND(IFERROR(VLOOKUP(AJ888,Equip!$A:$N,13,FALSE),0)&gt;=5,IFERROR(VLOOKUP(AJ888,Equip!$A:$N,13,FALSE),0)&lt;=9),INT(VLOOKUP(AJ888,Equip!$A:$N,6,FALSE)*SQRT(AN888)),0)</f>
        <v>0</v>
      </c>
      <c r="AT888">
        <f>IF(AND(IFERROR(VLOOKUP(AK888,Equip!$A:$N,13,FALSE),0)&gt;=5,IFERROR(VLOOKUP(AK888,Equip!$A:$N,13,FALSE),0)&lt;=9),INT(VLOOKUP(AK888,Equip!$A:$N,6,FALSE)*SQRT(AO888)),0)</f>
        <v>0</v>
      </c>
      <c r="AU888">
        <f>IF(AND(IFERROR(VLOOKUP(AL888,Equip!$A:$N,13,FALSE),0)&gt;=5,IFERROR(VLOOKUP(AL888,Equip!$A:$N,13,FALSE),0)&lt;=9),INT(VLOOKUP(AL888,Equip!$A:$N,6,FALSE)*SQRT(AP888)),0)</f>
        <v>0</v>
      </c>
      <c r="AV888">
        <f>IF(AND(IFERROR(VLOOKUP(AM888,Equip!$A:$N,13,FALSE),0)&gt;=5,IFERROR(VLOOKUP(AM888,Equip!$A:$N,13,FALSE),0)&lt;=9),INT(VLOOKUP(AM888,Equip!$A:$N,6,FALSE)*SQRT(AQ888)),0)</f>
        <v>0</v>
      </c>
      <c r="AW888">
        <f t="shared" si="2245"/>
        <v>0</v>
      </c>
      <c r="AX888">
        <f t="shared" si="2246"/>
        <v>771</v>
      </c>
    </row>
    <row r="889" spans="1:50">
      <c r="A889">
        <v>950</v>
      </c>
      <c r="B889" t="s">
        <v>1184</v>
      </c>
      <c r="C889" t="s">
        <v>1185</v>
      </c>
      <c r="D889">
        <v>0</v>
      </c>
      <c r="E889">
        <v>0</v>
      </c>
      <c r="F889">
        <v>0</v>
      </c>
      <c r="G889">
        <v>950</v>
      </c>
      <c r="H889">
        <v>0</v>
      </c>
      <c r="I889">
        <v>0</v>
      </c>
      <c r="J889">
        <v>0</v>
      </c>
      <c r="K889">
        <v>18</v>
      </c>
      <c r="L889">
        <v>0</v>
      </c>
      <c r="M889">
        <v>130</v>
      </c>
      <c r="N889">
        <v>130</v>
      </c>
      <c r="O889">
        <v>55</v>
      </c>
      <c r="P889">
        <v>95</v>
      </c>
      <c r="Q889">
        <v>0</v>
      </c>
      <c r="R889">
        <v>10</v>
      </c>
      <c r="S889">
        <v>40</v>
      </c>
      <c r="T889">
        <v>0</v>
      </c>
      <c r="U889">
        <v>10</v>
      </c>
      <c r="V889">
        <v>10</v>
      </c>
      <c r="W889">
        <v>1</v>
      </c>
      <c r="X889">
        <v>20</v>
      </c>
      <c r="Y889">
        <v>10</v>
      </c>
      <c r="Z889">
        <v>0</v>
      </c>
      <c r="AA889">
        <v>0</v>
      </c>
      <c r="AB889">
        <v>55</v>
      </c>
      <c r="AC889">
        <v>0</v>
      </c>
      <c r="AD889">
        <v>40</v>
      </c>
      <c r="AE889">
        <v>95</v>
      </c>
      <c r="AF889">
        <v>20</v>
      </c>
      <c r="AG889">
        <v>10</v>
      </c>
      <c r="AH889">
        <v>0</v>
      </c>
      <c r="AI889">
        <v>10</v>
      </c>
      <c r="AJ889">
        <v>503</v>
      </c>
      <c r="AK889">
        <v>510</v>
      </c>
      <c r="AL889">
        <v>540</v>
      </c>
      <c r="AM889">
        <v>540</v>
      </c>
      <c r="AN889">
        <v>0</v>
      </c>
      <c r="AO889">
        <v>0</v>
      </c>
      <c r="AP889">
        <v>0</v>
      </c>
      <c r="AQ889">
        <v>0</v>
      </c>
      <c r="AR889">
        <f t="shared" si="2255"/>
        <v>0</v>
      </c>
      <c r="AS889">
        <f>IF(AND(IFERROR(VLOOKUP(AJ889,Equip!$A:$N,13,FALSE),0)&gt;=5,IFERROR(VLOOKUP(AJ889,Equip!$A:$N,13,FALSE),0)&lt;=9),INT(VLOOKUP(AJ889,Equip!$A:$N,6,FALSE)*SQRT(AN889)),0)</f>
        <v>0</v>
      </c>
      <c r="AT889">
        <f>IF(AND(IFERROR(VLOOKUP(AK889,Equip!$A:$N,13,FALSE),0)&gt;=5,IFERROR(VLOOKUP(AK889,Equip!$A:$N,13,FALSE),0)&lt;=9),INT(VLOOKUP(AK889,Equip!$A:$N,6,FALSE)*SQRT(AO889)),0)</f>
        <v>0</v>
      </c>
      <c r="AU889">
        <f>IF(AND(IFERROR(VLOOKUP(AL889,Equip!$A:$N,13,FALSE),0)&gt;=5,IFERROR(VLOOKUP(AL889,Equip!$A:$N,13,FALSE),0)&lt;=9),INT(VLOOKUP(AL889,Equip!$A:$N,6,FALSE)*SQRT(AP889)),0)</f>
        <v>0</v>
      </c>
      <c r="AV889">
        <f>IF(AND(IFERROR(VLOOKUP(AM889,Equip!$A:$N,13,FALSE),0)&gt;=5,IFERROR(VLOOKUP(AM889,Equip!$A:$N,13,FALSE),0)&lt;=9),INT(VLOOKUP(AM889,Equip!$A:$N,6,FALSE)*SQRT(AQ889)),0)</f>
        <v>0</v>
      </c>
      <c r="AW889">
        <f t="shared" si="2245"/>
        <v>0</v>
      </c>
      <c r="AX889">
        <f t="shared" si="2246"/>
        <v>340</v>
      </c>
    </row>
    <row r="890" spans="1:50">
      <c r="A890">
        <v>951</v>
      </c>
      <c r="B890" t="s">
        <v>1186</v>
      </c>
      <c r="C890" t="s">
        <v>1187</v>
      </c>
      <c r="D890">
        <v>0</v>
      </c>
      <c r="E890">
        <v>0</v>
      </c>
      <c r="F890">
        <v>0</v>
      </c>
      <c r="G890">
        <v>951</v>
      </c>
      <c r="H890">
        <v>0</v>
      </c>
      <c r="I890">
        <v>0</v>
      </c>
      <c r="J890">
        <v>0</v>
      </c>
      <c r="K890">
        <v>1</v>
      </c>
      <c r="L890">
        <v>0</v>
      </c>
      <c r="M890">
        <v>32</v>
      </c>
      <c r="N890">
        <v>32</v>
      </c>
      <c r="O890">
        <v>63</v>
      </c>
      <c r="P890">
        <v>59</v>
      </c>
      <c r="Q890">
        <v>109</v>
      </c>
      <c r="R890">
        <v>999</v>
      </c>
      <c r="S890">
        <v>63</v>
      </c>
      <c r="T890">
        <v>74</v>
      </c>
      <c r="U890">
        <v>10</v>
      </c>
      <c r="V890">
        <v>39</v>
      </c>
      <c r="W890">
        <v>1</v>
      </c>
      <c r="X890">
        <v>99</v>
      </c>
      <c r="Y890">
        <v>10</v>
      </c>
      <c r="Z890">
        <v>0</v>
      </c>
      <c r="AA890">
        <v>0</v>
      </c>
      <c r="AB890">
        <v>63</v>
      </c>
      <c r="AC890">
        <v>109</v>
      </c>
      <c r="AD890">
        <v>63</v>
      </c>
      <c r="AE890">
        <v>59</v>
      </c>
      <c r="AF890">
        <v>99</v>
      </c>
      <c r="AG890">
        <v>999</v>
      </c>
      <c r="AH890">
        <v>74</v>
      </c>
      <c r="AI890">
        <v>39</v>
      </c>
      <c r="AJ890">
        <v>553</v>
      </c>
      <c r="AK890">
        <v>515</v>
      </c>
      <c r="AL890">
        <v>532</v>
      </c>
      <c r="AM890">
        <v>544</v>
      </c>
      <c r="AN890">
        <v>0</v>
      </c>
      <c r="AO890">
        <v>0</v>
      </c>
      <c r="AP890">
        <v>0</v>
      </c>
      <c r="AQ890">
        <v>0</v>
      </c>
      <c r="AR890">
        <f t="shared" si="2255"/>
        <v>0</v>
      </c>
      <c r="AS890">
        <f>IF(AND(IFERROR(VLOOKUP(AJ890,Equip!$A:$N,13,FALSE),0)&gt;=5,IFERROR(VLOOKUP(AJ890,Equip!$A:$N,13,FALSE),0)&lt;=9),INT(VLOOKUP(AJ890,Equip!$A:$N,6,FALSE)*SQRT(AN890)),0)</f>
        <v>0</v>
      </c>
      <c r="AT890">
        <f>IF(AND(IFERROR(VLOOKUP(AK890,Equip!$A:$N,13,FALSE),0)&gt;=5,IFERROR(VLOOKUP(AK890,Equip!$A:$N,13,FALSE),0)&lt;=9),INT(VLOOKUP(AK890,Equip!$A:$N,6,FALSE)*SQRT(AO890)),0)</f>
        <v>0</v>
      </c>
      <c r="AU890">
        <f>IF(AND(IFERROR(VLOOKUP(AL890,Equip!$A:$N,13,FALSE),0)&gt;=5,IFERROR(VLOOKUP(AL890,Equip!$A:$N,13,FALSE),0)&lt;=9),INT(VLOOKUP(AL890,Equip!$A:$N,6,FALSE)*SQRT(AP890)),0)</f>
        <v>0</v>
      </c>
      <c r="AV890">
        <f>IF(AND(IFERROR(VLOOKUP(AM890,Equip!$A:$N,13,FALSE),0)&gt;=5,IFERROR(VLOOKUP(AM890,Equip!$A:$N,13,FALSE),0)&lt;=9),INT(VLOOKUP(AM890,Equip!$A:$N,6,FALSE)*SQRT(AQ890)),0)</f>
        <v>0</v>
      </c>
      <c r="AW890">
        <f t="shared" si="2245"/>
        <v>0</v>
      </c>
      <c r="AX890">
        <f t="shared" si="2246"/>
        <v>1438</v>
      </c>
    </row>
    <row r="891" spans="1:50">
      <c r="A891">
        <v>952</v>
      </c>
      <c r="B891" t="s">
        <v>1188</v>
      </c>
      <c r="C891" t="s">
        <v>1188</v>
      </c>
      <c r="D891">
        <v>0</v>
      </c>
      <c r="E891">
        <v>0</v>
      </c>
      <c r="F891">
        <v>0</v>
      </c>
      <c r="G891">
        <v>902</v>
      </c>
      <c r="H891">
        <v>0</v>
      </c>
      <c r="I891">
        <v>0</v>
      </c>
      <c r="J891">
        <v>0</v>
      </c>
      <c r="K891">
        <v>1</v>
      </c>
      <c r="L891">
        <v>1</v>
      </c>
      <c r="M891">
        <v>61</v>
      </c>
      <c r="N891">
        <v>61</v>
      </c>
      <c r="O891">
        <v>33</v>
      </c>
      <c r="P891">
        <v>24</v>
      </c>
      <c r="Q891">
        <v>60</v>
      </c>
      <c r="R891">
        <v>52</v>
      </c>
      <c r="S891">
        <v>24</v>
      </c>
      <c r="T891">
        <v>55</v>
      </c>
      <c r="U891">
        <v>10</v>
      </c>
      <c r="V891">
        <v>10</v>
      </c>
      <c r="W891">
        <v>1</v>
      </c>
      <c r="X891">
        <v>20</v>
      </c>
      <c r="Y891">
        <v>5</v>
      </c>
      <c r="Z891">
        <v>0</v>
      </c>
      <c r="AA891">
        <v>0</v>
      </c>
      <c r="AB891">
        <v>33</v>
      </c>
      <c r="AC891">
        <v>60</v>
      </c>
      <c r="AD891">
        <v>24</v>
      </c>
      <c r="AE891">
        <v>24</v>
      </c>
      <c r="AF891">
        <v>20</v>
      </c>
      <c r="AG891">
        <v>52</v>
      </c>
      <c r="AH891">
        <v>55</v>
      </c>
      <c r="AI891">
        <v>10</v>
      </c>
      <c r="AJ891">
        <v>502</v>
      </c>
      <c r="AK891">
        <v>515</v>
      </c>
      <c r="AL891">
        <v>542</v>
      </c>
      <c r="AM891">
        <v>-1</v>
      </c>
      <c r="AN891">
        <v>0</v>
      </c>
      <c r="AO891">
        <v>0</v>
      </c>
      <c r="AP891">
        <v>0</v>
      </c>
      <c r="AQ891">
        <v>0</v>
      </c>
      <c r="AR891">
        <f t="shared" si="2255"/>
        <v>0</v>
      </c>
      <c r="AS891">
        <f>IF(AND(IFERROR(VLOOKUP(AJ891,Equip!$A:$N,13,FALSE),0)&gt;=5,IFERROR(VLOOKUP(AJ891,Equip!$A:$N,13,FALSE),0)&lt;=9),INT(VLOOKUP(AJ891,Equip!$A:$N,6,FALSE)*SQRT(AN891)),0)</f>
        <v>0</v>
      </c>
      <c r="AT891">
        <f>IF(AND(IFERROR(VLOOKUP(AK891,Equip!$A:$N,13,FALSE),0)&gt;=5,IFERROR(VLOOKUP(AK891,Equip!$A:$N,13,FALSE),0)&lt;=9),INT(VLOOKUP(AK891,Equip!$A:$N,6,FALSE)*SQRT(AO891)),0)</f>
        <v>0</v>
      </c>
      <c r="AU891">
        <f>IF(AND(IFERROR(VLOOKUP(AL891,Equip!$A:$N,13,FALSE),0)&gt;=5,IFERROR(VLOOKUP(AL891,Equip!$A:$N,13,FALSE),0)&lt;=9),INT(VLOOKUP(AL891,Equip!$A:$N,6,FALSE)*SQRT(AP891)),0)</f>
        <v>0</v>
      </c>
      <c r="AV891">
        <f>IF(AND(IFERROR(VLOOKUP(AM891,Equip!$A:$N,13,FALSE),0)&gt;=5,IFERROR(VLOOKUP(AM891,Equip!$A:$N,13,FALSE),0)&lt;=9),INT(VLOOKUP(AM891,Equip!$A:$N,6,FALSE)*SQRT(AQ891)),0)</f>
        <v>0</v>
      </c>
      <c r="AW891">
        <f t="shared" si="2245"/>
        <v>0</v>
      </c>
      <c r="AX891">
        <f t="shared" si="2246"/>
        <v>319</v>
      </c>
    </row>
    <row r="892" spans="1:50">
      <c r="A892">
        <v>953</v>
      </c>
      <c r="B892" t="s">
        <v>1189</v>
      </c>
      <c r="C892" t="s">
        <v>1189</v>
      </c>
      <c r="D892">
        <v>0</v>
      </c>
      <c r="E892">
        <v>0</v>
      </c>
      <c r="F892">
        <v>0</v>
      </c>
      <c r="G892">
        <v>903</v>
      </c>
      <c r="H892">
        <v>0</v>
      </c>
      <c r="I892">
        <v>0</v>
      </c>
      <c r="J892">
        <v>0</v>
      </c>
      <c r="K892">
        <v>1</v>
      </c>
      <c r="L892">
        <v>1</v>
      </c>
      <c r="M892">
        <v>64</v>
      </c>
      <c r="N892">
        <v>64</v>
      </c>
      <c r="O892">
        <v>30</v>
      </c>
      <c r="P892">
        <v>27</v>
      </c>
      <c r="Q892">
        <v>60</v>
      </c>
      <c r="R892">
        <v>54</v>
      </c>
      <c r="S892">
        <v>24</v>
      </c>
      <c r="T892">
        <v>60</v>
      </c>
      <c r="U892">
        <v>10</v>
      </c>
      <c r="V892">
        <v>12</v>
      </c>
      <c r="W892">
        <v>1</v>
      </c>
      <c r="X892">
        <v>20</v>
      </c>
      <c r="Y892">
        <v>5</v>
      </c>
      <c r="Z892">
        <v>0</v>
      </c>
      <c r="AA892">
        <v>0</v>
      </c>
      <c r="AB892">
        <v>30</v>
      </c>
      <c r="AC892">
        <v>60</v>
      </c>
      <c r="AD892">
        <v>24</v>
      </c>
      <c r="AE892">
        <v>27</v>
      </c>
      <c r="AF892">
        <v>20</v>
      </c>
      <c r="AG892">
        <v>54</v>
      </c>
      <c r="AH892">
        <v>60</v>
      </c>
      <c r="AI892">
        <v>12</v>
      </c>
      <c r="AJ892">
        <v>502</v>
      </c>
      <c r="AK892">
        <v>515</v>
      </c>
      <c r="AL892">
        <v>542</v>
      </c>
      <c r="AM892">
        <v>-1</v>
      </c>
      <c r="AN892">
        <v>0</v>
      </c>
      <c r="AO892">
        <v>0</v>
      </c>
      <c r="AP892">
        <v>0</v>
      </c>
      <c r="AQ892">
        <v>0</v>
      </c>
      <c r="AR892">
        <f t="shared" si="2255"/>
        <v>0</v>
      </c>
      <c r="AS892">
        <f>IF(AND(IFERROR(VLOOKUP(AJ892,Equip!$A:$N,13,FALSE),0)&gt;=5,IFERROR(VLOOKUP(AJ892,Equip!$A:$N,13,FALSE),0)&lt;=9),INT(VLOOKUP(AJ892,Equip!$A:$N,6,FALSE)*SQRT(AN892)),0)</f>
        <v>0</v>
      </c>
      <c r="AT892">
        <f>IF(AND(IFERROR(VLOOKUP(AK892,Equip!$A:$N,13,FALSE),0)&gt;=5,IFERROR(VLOOKUP(AK892,Equip!$A:$N,13,FALSE),0)&lt;=9),INT(VLOOKUP(AK892,Equip!$A:$N,6,FALSE)*SQRT(AO892)),0)</f>
        <v>0</v>
      </c>
      <c r="AU892">
        <f>IF(AND(IFERROR(VLOOKUP(AL892,Equip!$A:$N,13,FALSE),0)&gt;=5,IFERROR(VLOOKUP(AL892,Equip!$A:$N,13,FALSE),0)&lt;=9),INT(VLOOKUP(AL892,Equip!$A:$N,6,FALSE)*SQRT(AP892)),0)</f>
        <v>0</v>
      </c>
      <c r="AV892">
        <f>IF(AND(IFERROR(VLOOKUP(AM892,Equip!$A:$N,13,FALSE),0)&gt;=5,IFERROR(VLOOKUP(AM892,Equip!$A:$N,13,FALSE),0)&lt;=9),INT(VLOOKUP(AM892,Equip!$A:$N,6,FALSE)*SQRT(AQ892)),0)</f>
        <v>0</v>
      </c>
      <c r="AW892">
        <f t="shared" si="2245"/>
        <v>0</v>
      </c>
      <c r="AX892">
        <f t="shared" si="2246"/>
        <v>331</v>
      </c>
    </row>
    <row r="893" spans="1:50">
      <c r="A893">
        <v>954</v>
      </c>
      <c r="B893" t="s">
        <v>1190</v>
      </c>
      <c r="C893" t="s">
        <v>1190</v>
      </c>
      <c r="D893">
        <v>0</v>
      </c>
      <c r="E893">
        <v>0</v>
      </c>
      <c r="F893">
        <v>0</v>
      </c>
      <c r="G893">
        <v>905</v>
      </c>
      <c r="H893">
        <v>0</v>
      </c>
      <c r="I893">
        <v>0</v>
      </c>
      <c r="J893">
        <v>0</v>
      </c>
      <c r="K893">
        <v>2</v>
      </c>
      <c r="L893">
        <v>2</v>
      </c>
      <c r="M893">
        <v>70</v>
      </c>
      <c r="N893">
        <v>70</v>
      </c>
      <c r="O893">
        <v>42</v>
      </c>
      <c r="P893">
        <v>36</v>
      </c>
      <c r="Q893">
        <v>72</v>
      </c>
      <c r="R893">
        <v>44</v>
      </c>
      <c r="S893">
        <v>27</v>
      </c>
      <c r="T893">
        <v>70</v>
      </c>
      <c r="U893">
        <v>10</v>
      </c>
      <c r="V893">
        <v>20</v>
      </c>
      <c r="W893">
        <v>2</v>
      </c>
      <c r="X893">
        <v>20</v>
      </c>
      <c r="Y893">
        <v>5</v>
      </c>
      <c r="Z893">
        <v>0</v>
      </c>
      <c r="AA893">
        <v>0</v>
      </c>
      <c r="AB893">
        <v>42</v>
      </c>
      <c r="AC893">
        <v>72</v>
      </c>
      <c r="AD893">
        <v>27</v>
      </c>
      <c r="AE893">
        <v>36</v>
      </c>
      <c r="AF893">
        <v>20</v>
      </c>
      <c r="AG893">
        <v>44</v>
      </c>
      <c r="AH893">
        <v>70</v>
      </c>
      <c r="AI893">
        <v>20</v>
      </c>
      <c r="AJ893">
        <v>504</v>
      </c>
      <c r="AK893">
        <v>542</v>
      </c>
      <c r="AL893">
        <v>543</v>
      </c>
      <c r="AM893">
        <v>-1</v>
      </c>
      <c r="AN893">
        <v>2</v>
      </c>
      <c r="AO893">
        <v>2</v>
      </c>
      <c r="AP893">
        <v>2</v>
      </c>
      <c r="AQ893">
        <v>0</v>
      </c>
      <c r="AR893">
        <f t="shared" si="2255"/>
        <v>6</v>
      </c>
      <c r="AS893">
        <f>IF(AND(IFERROR(VLOOKUP(AJ893,Equip!$A:$N,13,FALSE),0)&gt;=5,IFERROR(VLOOKUP(AJ893,Equip!$A:$N,13,FALSE),0)&lt;=9),INT(VLOOKUP(AJ893,Equip!$A:$N,6,FALSE)*SQRT(AN893)),0)</f>
        <v>0</v>
      </c>
      <c r="AT893">
        <f>IF(AND(IFERROR(VLOOKUP(AK893,Equip!$A:$N,13,FALSE),0)&gt;=5,IFERROR(VLOOKUP(AK893,Equip!$A:$N,13,FALSE),0)&lt;=9),INT(VLOOKUP(AK893,Equip!$A:$N,6,FALSE)*SQRT(AO893)),0)</f>
        <v>0</v>
      </c>
      <c r="AU893">
        <f>IF(AND(IFERROR(VLOOKUP(AL893,Equip!$A:$N,13,FALSE),0)&gt;=5,IFERROR(VLOOKUP(AL893,Equip!$A:$N,13,FALSE),0)&lt;=9),INT(VLOOKUP(AL893,Equip!$A:$N,6,FALSE)*SQRT(AP893)),0)</f>
        <v>0</v>
      </c>
      <c r="AV893">
        <f>IF(AND(IFERROR(VLOOKUP(AM893,Equip!$A:$N,13,FALSE),0)&gt;=5,IFERROR(VLOOKUP(AM893,Equip!$A:$N,13,FALSE),0)&lt;=9),INT(VLOOKUP(AM893,Equip!$A:$N,6,FALSE)*SQRT(AQ893)),0)</f>
        <v>0</v>
      </c>
      <c r="AW893">
        <f t="shared" si="2245"/>
        <v>0</v>
      </c>
      <c r="AX893">
        <f t="shared" si="2246"/>
        <v>381</v>
      </c>
    </row>
    <row r="894" spans="1:50">
      <c r="A894">
        <v>955</v>
      </c>
      <c r="B894" t="s">
        <v>1191</v>
      </c>
      <c r="C894" t="s">
        <v>1191</v>
      </c>
      <c r="D894">
        <v>0</v>
      </c>
      <c r="E894">
        <v>0</v>
      </c>
      <c r="F894">
        <v>0</v>
      </c>
      <c r="G894">
        <v>906</v>
      </c>
      <c r="H894">
        <v>0</v>
      </c>
      <c r="I894">
        <v>0</v>
      </c>
      <c r="J894">
        <v>0</v>
      </c>
      <c r="K894">
        <v>2</v>
      </c>
      <c r="L894">
        <v>2</v>
      </c>
      <c r="M894">
        <v>74</v>
      </c>
      <c r="N894">
        <v>74</v>
      </c>
      <c r="O894">
        <v>48</v>
      </c>
      <c r="P894">
        <v>39</v>
      </c>
      <c r="Q894">
        <v>80</v>
      </c>
      <c r="R894">
        <v>46</v>
      </c>
      <c r="S894">
        <v>30</v>
      </c>
      <c r="T894">
        <v>80</v>
      </c>
      <c r="U894">
        <v>10</v>
      </c>
      <c r="V894">
        <v>24</v>
      </c>
      <c r="W894">
        <v>2</v>
      </c>
      <c r="X894">
        <v>20</v>
      </c>
      <c r="Y894">
        <v>5</v>
      </c>
      <c r="Z894">
        <v>0</v>
      </c>
      <c r="AA894">
        <v>0</v>
      </c>
      <c r="AB894">
        <v>48</v>
      </c>
      <c r="AC894">
        <v>80</v>
      </c>
      <c r="AD894">
        <v>30</v>
      </c>
      <c r="AE894">
        <v>39</v>
      </c>
      <c r="AF894">
        <v>20</v>
      </c>
      <c r="AG894">
        <v>46</v>
      </c>
      <c r="AH894">
        <v>80</v>
      </c>
      <c r="AI894">
        <v>24</v>
      </c>
      <c r="AJ894">
        <v>506</v>
      </c>
      <c r="AK894">
        <v>525</v>
      </c>
      <c r="AL894">
        <v>542</v>
      </c>
      <c r="AM894">
        <v>543</v>
      </c>
      <c r="AN894">
        <v>2</v>
      </c>
      <c r="AO894">
        <v>2</v>
      </c>
      <c r="AP894">
        <v>2</v>
      </c>
      <c r="AQ894">
        <v>2</v>
      </c>
      <c r="AR894">
        <f t="shared" si="2255"/>
        <v>8</v>
      </c>
      <c r="AS894">
        <f>IF(AND(IFERROR(VLOOKUP(AJ894,Equip!$A:$N,13,FALSE),0)&gt;=5,IFERROR(VLOOKUP(AJ894,Equip!$A:$N,13,FALSE),0)&lt;=9),INT(VLOOKUP(AJ894,Equip!$A:$N,6,FALSE)*SQRT(AN894)),0)</f>
        <v>0</v>
      </c>
      <c r="AT894">
        <f>IF(AND(IFERROR(VLOOKUP(AK894,Equip!$A:$N,13,FALSE),0)&gt;=5,IFERROR(VLOOKUP(AK894,Equip!$A:$N,13,FALSE),0)&lt;=9),INT(VLOOKUP(AK894,Equip!$A:$N,6,FALSE)*SQRT(AO894)),0)</f>
        <v>0</v>
      </c>
      <c r="AU894">
        <f>IF(AND(IFERROR(VLOOKUP(AL894,Equip!$A:$N,13,FALSE),0)&gt;=5,IFERROR(VLOOKUP(AL894,Equip!$A:$N,13,FALSE),0)&lt;=9),INT(VLOOKUP(AL894,Equip!$A:$N,6,FALSE)*SQRT(AP894)),0)</f>
        <v>0</v>
      </c>
      <c r="AV894">
        <f>IF(AND(IFERROR(VLOOKUP(AM894,Equip!$A:$N,13,FALSE),0)&gt;=5,IFERROR(VLOOKUP(AM894,Equip!$A:$N,13,FALSE),0)&lt;=9),INT(VLOOKUP(AM894,Equip!$A:$N,6,FALSE)*SQRT(AQ894)),0)</f>
        <v>0</v>
      </c>
      <c r="AW894">
        <f t="shared" si="2245"/>
        <v>0</v>
      </c>
      <c r="AX894">
        <f t="shared" si="2246"/>
        <v>421</v>
      </c>
    </row>
    <row r="895" spans="1:50">
      <c r="A895">
        <v>958</v>
      </c>
      <c r="B895" t="s">
        <v>1192</v>
      </c>
      <c r="C895" t="s">
        <v>1192</v>
      </c>
      <c r="D895">
        <v>0</v>
      </c>
      <c r="E895">
        <v>0</v>
      </c>
      <c r="F895">
        <v>0</v>
      </c>
      <c r="G895">
        <v>913</v>
      </c>
      <c r="H895">
        <v>0</v>
      </c>
      <c r="I895">
        <v>0</v>
      </c>
      <c r="J895">
        <v>0</v>
      </c>
      <c r="K895">
        <v>18</v>
      </c>
      <c r="L895">
        <v>4</v>
      </c>
      <c r="M895">
        <v>145</v>
      </c>
      <c r="N895">
        <v>145</v>
      </c>
      <c r="O895">
        <v>55</v>
      </c>
      <c r="P895">
        <v>65</v>
      </c>
      <c r="Q895">
        <v>0</v>
      </c>
      <c r="R895">
        <v>10</v>
      </c>
      <c r="S895">
        <v>40</v>
      </c>
      <c r="T895">
        <v>0</v>
      </c>
      <c r="U895">
        <v>5</v>
      </c>
      <c r="V895">
        <v>10</v>
      </c>
      <c r="W895">
        <v>1</v>
      </c>
      <c r="X895">
        <v>20</v>
      </c>
      <c r="Y895">
        <v>0</v>
      </c>
      <c r="Z895">
        <v>0</v>
      </c>
      <c r="AA895">
        <v>0</v>
      </c>
      <c r="AB895">
        <v>55</v>
      </c>
      <c r="AC895">
        <v>0</v>
      </c>
      <c r="AD895">
        <v>40</v>
      </c>
      <c r="AE895">
        <v>65</v>
      </c>
      <c r="AF895">
        <v>20</v>
      </c>
      <c r="AG895">
        <v>10</v>
      </c>
      <c r="AH895">
        <v>0</v>
      </c>
      <c r="AI895">
        <v>10</v>
      </c>
      <c r="AJ895">
        <v>506</v>
      </c>
      <c r="AK895">
        <v>504</v>
      </c>
      <c r="AL895">
        <v>504</v>
      </c>
      <c r="AM895">
        <v>-1</v>
      </c>
      <c r="AN895">
        <v>0</v>
      </c>
      <c r="AO895">
        <v>0</v>
      </c>
      <c r="AP895">
        <v>0</v>
      </c>
      <c r="AQ895">
        <v>0</v>
      </c>
      <c r="AR895">
        <f t="shared" si="2255"/>
        <v>0</v>
      </c>
      <c r="AS895">
        <f>IF(AND(IFERROR(VLOOKUP(AJ895,Equip!$A:$N,13,FALSE),0)&gt;=5,IFERROR(VLOOKUP(AJ895,Equip!$A:$N,13,FALSE),0)&lt;=9),INT(VLOOKUP(AJ895,Equip!$A:$N,6,FALSE)*SQRT(AN895)),0)</f>
        <v>0</v>
      </c>
      <c r="AT895">
        <f>IF(AND(IFERROR(VLOOKUP(AK895,Equip!$A:$N,13,FALSE),0)&gt;=5,IFERROR(VLOOKUP(AK895,Equip!$A:$N,13,FALSE),0)&lt;=9),INT(VLOOKUP(AK895,Equip!$A:$N,6,FALSE)*SQRT(AO895)),0)</f>
        <v>0</v>
      </c>
      <c r="AU895">
        <f>IF(AND(IFERROR(VLOOKUP(AL895,Equip!$A:$N,13,FALSE),0)&gt;=5,IFERROR(VLOOKUP(AL895,Equip!$A:$N,13,FALSE),0)&lt;=9),INT(VLOOKUP(AL895,Equip!$A:$N,6,FALSE)*SQRT(AP895)),0)</f>
        <v>0</v>
      </c>
      <c r="AV895">
        <f>IF(AND(IFERROR(VLOOKUP(AM895,Equip!$A:$N,13,FALSE),0)&gt;=5,IFERROR(VLOOKUP(AM895,Equip!$A:$N,13,FALSE),0)&lt;=9),INT(VLOOKUP(AM895,Equip!$A:$N,6,FALSE)*SQRT(AQ895)),0)</f>
        <v>0</v>
      </c>
      <c r="AW895">
        <f t="shared" si="2245"/>
        <v>0</v>
      </c>
      <c r="AX895">
        <f t="shared" si="2246"/>
        <v>325</v>
      </c>
    </row>
    <row r="896" spans="1:50">
      <c r="A896">
        <v>959</v>
      </c>
      <c r="B896" t="s">
        <v>1193</v>
      </c>
      <c r="C896" t="s">
        <v>1193</v>
      </c>
      <c r="D896">
        <v>0</v>
      </c>
      <c r="E896">
        <v>0</v>
      </c>
      <c r="F896">
        <v>0</v>
      </c>
      <c r="G896">
        <v>908</v>
      </c>
      <c r="H896">
        <v>0</v>
      </c>
      <c r="I896">
        <v>0</v>
      </c>
      <c r="J896">
        <v>0</v>
      </c>
      <c r="K896">
        <v>4</v>
      </c>
      <c r="L896">
        <v>2</v>
      </c>
      <c r="M896">
        <v>87</v>
      </c>
      <c r="N896">
        <v>87</v>
      </c>
      <c r="O896">
        <v>50</v>
      </c>
      <c r="P896">
        <v>60</v>
      </c>
      <c r="Q896">
        <v>120</v>
      </c>
      <c r="R896">
        <v>55</v>
      </c>
      <c r="S896">
        <v>30</v>
      </c>
      <c r="T896">
        <v>50</v>
      </c>
      <c r="U896">
        <v>10</v>
      </c>
      <c r="V896">
        <v>15</v>
      </c>
      <c r="W896">
        <v>2</v>
      </c>
      <c r="X896">
        <v>30</v>
      </c>
      <c r="Y896">
        <v>10</v>
      </c>
      <c r="Z896">
        <v>0</v>
      </c>
      <c r="AA896">
        <v>0</v>
      </c>
      <c r="AB896">
        <v>50</v>
      </c>
      <c r="AC896">
        <v>120</v>
      </c>
      <c r="AD896">
        <v>30</v>
      </c>
      <c r="AE896">
        <v>60</v>
      </c>
      <c r="AF896">
        <v>30</v>
      </c>
      <c r="AG896">
        <v>55</v>
      </c>
      <c r="AH896">
        <v>50</v>
      </c>
      <c r="AI896">
        <v>15</v>
      </c>
      <c r="AJ896">
        <v>506</v>
      </c>
      <c r="AK896">
        <v>514</v>
      </c>
      <c r="AL896">
        <v>514</v>
      </c>
      <c r="AM896">
        <v>-1</v>
      </c>
      <c r="AN896">
        <v>1</v>
      </c>
      <c r="AO896">
        <v>1</v>
      </c>
      <c r="AP896">
        <v>1</v>
      </c>
      <c r="AQ896">
        <v>0</v>
      </c>
      <c r="AR896">
        <f t="shared" si="2255"/>
        <v>3</v>
      </c>
      <c r="AS896">
        <f>IF(AND(IFERROR(VLOOKUP(AJ896,Equip!$A:$N,13,FALSE),0)&gt;=5,IFERROR(VLOOKUP(AJ896,Equip!$A:$N,13,FALSE),0)&lt;=9),INT(VLOOKUP(AJ896,Equip!$A:$N,6,FALSE)*SQRT(AN896)),0)</f>
        <v>0</v>
      </c>
      <c r="AT896">
        <f>IF(AND(IFERROR(VLOOKUP(AK896,Equip!$A:$N,13,FALSE),0)&gt;=5,IFERROR(VLOOKUP(AK896,Equip!$A:$N,13,FALSE),0)&lt;=9),INT(VLOOKUP(AK896,Equip!$A:$N,6,FALSE)*SQRT(AO896)),0)</f>
        <v>0</v>
      </c>
      <c r="AU896">
        <f>IF(AND(IFERROR(VLOOKUP(AL896,Equip!$A:$N,13,FALSE),0)&gt;=5,IFERROR(VLOOKUP(AL896,Equip!$A:$N,13,FALSE),0)&lt;=9),INT(VLOOKUP(AL896,Equip!$A:$N,6,FALSE)*SQRT(AP896)),0)</f>
        <v>0</v>
      </c>
      <c r="AV896">
        <f>IF(AND(IFERROR(VLOOKUP(AM896,Equip!$A:$N,13,FALSE),0)&gt;=5,IFERROR(VLOOKUP(AM896,Equip!$A:$N,13,FALSE),0)&lt;=9),INT(VLOOKUP(AM896,Equip!$A:$N,6,FALSE)*SQRT(AQ896)),0)</f>
        <v>0</v>
      </c>
      <c r="AW896">
        <f t="shared" si="2245"/>
        <v>0</v>
      </c>
      <c r="AX896">
        <f t="shared" si="2246"/>
        <v>467</v>
      </c>
    </row>
    <row r="897" spans="1:50">
      <c r="A897">
        <v>960</v>
      </c>
      <c r="B897" t="s">
        <v>1194</v>
      </c>
      <c r="C897" t="s">
        <v>1194</v>
      </c>
      <c r="D897">
        <v>0</v>
      </c>
      <c r="E897">
        <v>0</v>
      </c>
      <c r="F897">
        <v>0</v>
      </c>
      <c r="G897">
        <v>910</v>
      </c>
      <c r="H897">
        <v>0</v>
      </c>
      <c r="I897">
        <v>0</v>
      </c>
      <c r="J897">
        <v>0</v>
      </c>
      <c r="K897">
        <v>9</v>
      </c>
      <c r="L897">
        <v>4</v>
      </c>
      <c r="M897">
        <v>100</v>
      </c>
      <c r="N897">
        <v>100</v>
      </c>
      <c r="O897">
        <v>18</v>
      </c>
      <c r="P897">
        <v>70</v>
      </c>
      <c r="Q897">
        <v>0</v>
      </c>
      <c r="R897">
        <v>40</v>
      </c>
      <c r="S897">
        <v>36</v>
      </c>
      <c r="T897">
        <v>0</v>
      </c>
      <c r="U897">
        <v>5</v>
      </c>
      <c r="V897">
        <v>40</v>
      </c>
      <c r="W897">
        <v>0</v>
      </c>
      <c r="X897">
        <v>30</v>
      </c>
      <c r="Y897">
        <v>5</v>
      </c>
      <c r="Z897">
        <v>0</v>
      </c>
      <c r="AA897">
        <v>0</v>
      </c>
      <c r="AB897">
        <v>18</v>
      </c>
      <c r="AC897">
        <v>0</v>
      </c>
      <c r="AD897">
        <v>36</v>
      </c>
      <c r="AE897">
        <v>70</v>
      </c>
      <c r="AF897">
        <v>30</v>
      </c>
      <c r="AG897">
        <v>40</v>
      </c>
      <c r="AH897">
        <v>0</v>
      </c>
      <c r="AI897">
        <v>40</v>
      </c>
      <c r="AJ897">
        <v>520</v>
      </c>
      <c r="AK897">
        <v>524</v>
      </c>
      <c r="AL897">
        <v>524</v>
      </c>
      <c r="AM897">
        <v>517</v>
      </c>
      <c r="AN897">
        <v>22</v>
      </c>
      <c r="AO897">
        <v>22</v>
      </c>
      <c r="AP897">
        <v>22</v>
      </c>
      <c r="AQ897">
        <v>22</v>
      </c>
      <c r="AR897">
        <f t="shared" si="2255"/>
        <v>88</v>
      </c>
      <c r="AS897">
        <f>IF(AND(IFERROR(VLOOKUP(AJ897,Equip!$A:$N,13,FALSE),0)&gt;=5,IFERROR(VLOOKUP(AJ897,Equip!$A:$N,13,FALSE),0)&lt;=9),INT(VLOOKUP(AJ897,Equip!$A:$N,6,FALSE)*SQRT(AN897)),0)</f>
        <v>0</v>
      </c>
      <c r="AT897">
        <f>IF(AND(IFERROR(VLOOKUP(AK897,Equip!$A:$N,13,FALSE),0)&gt;=5,IFERROR(VLOOKUP(AK897,Equip!$A:$N,13,FALSE),0)&lt;=9),INT(VLOOKUP(AK897,Equip!$A:$N,6,FALSE)*SQRT(AO897)),0)</f>
        <v>0</v>
      </c>
      <c r="AU897">
        <f>IF(AND(IFERROR(VLOOKUP(AL897,Equip!$A:$N,13,FALSE),0)&gt;=5,IFERROR(VLOOKUP(AL897,Equip!$A:$N,13,FALSE),0)&lt;=9),INT(VLOOKUP(AL897,Equip!$A:$N,6,FALSE)*SQRT(AP897)),0)</f>
        <v>0</v>
      </c>
      <c r="AV897">
        <f>IF(AND(IFERROR(VLOOKUP(AM897,Equip!$A:$N,13,FALSE),0)&gt;=5,IFERROR(VLOOKUP(AM897,Equip!$A:$N,13,FALSE),0)&lt;=9),INT(VLOOKUP(AM897,Equip!$A:$N,6,FALSE)*SQRT(AQ897)),0)</f>
        <v>0</v>
      </c>
      <c r="AW897">
        <f t="shared" si="2245"/>
        <v>0</v>
      </c>
      <c r="AX897">
        <f t="shared" si="2246"/>
        <v>304</v>
      </c>
    </row>
    <row r="898" spans="1:50">
      <c r="A898">
        <v>961</v>
      </c>
      <c r="B898" t="s">
        <v>1195</v>
      </c>
      <c r="C898" t="s">
        <v>1195</v>
      </c>
      <c r="D898">
        <v>0</v>
      </c>
      <c r="E898">
        <v>0</v>
      </c>
      <c r="F898">
        <v>0</v>
      </c>
      <c r="G898">
        <v>961</v>
      </c>
      <c r="H898">
        <v>0</v>
      </c>
      <c r="I898">
        <v>0</v>
      </c>
      <c r="J898">
        <v>0</v>
      </c>
      <c r="K898">
        <v>7</v>
      </c>
      <c r="L898">
        <v>10</v>
      </c>
      <c r="M898">
        <v>193</v>
      </c>
      <c r="N898">
        <v>193</v>
      </c>
      <c r="O898">
        <v>90</v>
      </c>
      <c r="P898">
        <v>110</v>
      </c>
      <c r="Q898">
        <v>0</v>
      </c>
      <c r="R898">
        <v>45</v>
      </c>
      <c r="S898">
        <v>80</v>
      </c>
      <c r="T898">
        <v>0</v>
      </c>
      <c r="U898">
        <v>10</v>
      </c>
      <c r="V898">
        <v>50</v>
      </c>
      <c r="W898">
        <v>3</v>
      </c>
      <c r="X898">
        <v>60</v>
      </c>
      <c r="Y898">
        <v>10</v>
      </c>
      <c r="Z898">
        <v>0</v>
      </c>
      <c r="AA898">
        <v>0</v>
      </c>
      <c r="AB898">
        <v>90</v>
      </c>
      <c r="AC898">
        <v>0</v>
      </c>
      <c r="AD898">
        <v>80</v>
      </c>
      <c r="AE898">
        <v>110</v>
      </c>
      <c r="AF898">
        <v>60</v>
      </c>
      <c r="AG898">
        <v>45</v>
      </c>
      <c r="AH898">
        <v>0</v>
      </c>
      <c r="AI898">
        <v>50</v>
      </c>
      <c r="AJ898">
        <v>509</v>
      </c>
      <c r="AK898">
        <v>512</v>
      </c>
      <c r="AL898">
        <v>525</v>
      </c>
      <c r="AM898">
        <v>521</v>
      </c>
      <c r="AN898">
        <v>0</v>
      </c>
      <c r="AO898">
        <v>0</v>
      </c>
      <c r="AP898">
        <v>10</v>
      </c>
      <c r="AQ898">
        <v>130</v>
      </c>
      <c r="AR898">
        <f t="shared" si="2255"/>
        <v>140</v>
      </c>
      <c r="AS898">
        <f>IF(AND(IFERROR(VLOOKUP(AJ898,Equip!$A:$N,13,FALSE),0)&gt;=5,IFERROR(VLOOKUP(AJ898,Equip!$A:$N,13,FALSE),0)&lt;=9),INT(VLOOKUP(AJ898,Equip!$A:$N,6,FALSE)*SQRT(AN898)),0)</f>
        <v>0</v>
      </c>
      <c r="AT898">
        <f>IF(AND(IFERROR(VLOOKUP(AK898,Equip!$A:$N,13,FALSE),0)&gt;=5,IFERROR(VLOOKUP(AK898,Equip!$A:$N,13,FALSE),0)&lt;=9),INT(VLOOKUP(AK898,Equip!$A:$N,6,FALSE)*SQRT(AO898)),0)</f>
        <v>0</v>
      </c>
      <c r="AU898">
        <f>IF(AND(IFERROR(VLOOKUP(AL898,Equip!$A:$N,13,FALSE),0)&gt;=5,IFERROR(VLOOKUP(AL898,Equip!$A:$N,13,FALSE),0)&lt;=9),INT(VLOOKUP(AL898,Equip!$A:$N,6,FALSE)*SQRT(AP898)),0)</f>
        <v>0</v>
      </c>
      <c r="AV898">
        <f>IF(AND(IFERROR(VLOOKUP(AM898,Equip!$A:$N,13,FALSE),0)&gt;=5,IFERROR(VLOOKUP(AM898,Equip!$A:$N,13,FALSE),0)&lt;=9),INT(VLOOKUP(AM898,Equip!$A:$N,6,FALSE)*SQRT(AQ898)),0)</f>
        <v>0</v>
      </c>
      <c r="AW898">
        <f t="shared" si="2245"/>
        <v>0</v>
      </c>
      <c r="AX898">
        <f t="shared" si="2246"/>
        <v>568</v>
      </c>
    </row>
    <row r="899" spans="1:50">
      <c r="A899">
        <v>962</v>
      </c>
      <c r="B899" t="s">
        <v>1196</v>
      </c>
      <c r="C899" t="s">
        <v>1196</v>
      </c>
      <c r="D899">
        <v>0</v>
      </c>
      <c r="E899">
        <v>0</v>
      </c>
      <c r="F899">
        <v>0</v>
      </c>
      <c r="G899">
        <v>961</v>
      </c>
      <c r="H899">
        <v>0</v>
      </c>
      <c r="I899">
        <v>0</v>
      </c>
      <c r="J899">
        <v>0</v>
      </c>
      <c r="K899">
        <v>7</v>
      </c>
      <c r="L899">
        <v>10</v>
      </c>
      <c r="M899">
        <v>280</v>
      </c>
      <c r="N899">
        <v>280</v>
      </c>
      <c r="O899">
        <v>130</v>
      </c>
      <c r="P899">
        <v>130</v>
      </c>
      <c r="Q899">
        <v>0</v>
      </c>
      <c r="R899">
        <v>50</v>
      </c>
      <c r="S899">
        <v>100</v>
      </c>
      <c r="T899">
        <v>0</v>
      </c>
      <c r="U899">
        <v>10</v>
      </c>
      <c r="V899">
        <v>70</v>
      </c>
      <c r="W899">
        <v>3</v>
      </c>
      <c r="X899">
        <v>70</v>
      </c>
      <c r="Y899">
        <v>15</v>
      </c>
      <c r="Z899">
        <v>0</v>
      </c>
      <c r="AA899">
        <v>0</v>
      </c>
      <c r="AB899">
        <v>130</v>
      </c>
      <c r="AC899">
        <v>0</v>
      </c>
      <c r="AD899">
        <v>100</v>
      </c>
      <c r="AE899">
        <v>130</v>
      </c>
      <c r="AF899">
        <v>70</v>
      </c>
      <c r="AG899">
        <v>50</v>
      </c>
      <c r="AH899">
        <v>0</v>
      </c>
      <c r="AI899">
        <v>70</v>
      </c>
      <c r="AJ899">
        <v>509</v>
      </c>
      <c r="AK899">
        <v>512</v>
      </c>
      <c r="AL899">
        <v>545</v>
      </c>
      <c r="AM899">
        <v>521</v>
      </c>
      <c r="AN899">
        <v>0</v>
      </c>
      <c r="AO899">
        <v>0</v>
      </c>
      <c r="AP899">
        <v>10</v>
      </c>
      <c r="AQ899">
        <v>170</v>
      </c>
      <c r="AR899">
        <f t="shared" si="2255"/>
        <v>180</v>
      </c>
      <c r="AS899">
        <f>IF(AND(IFERROR(VLOOKUP(AJ899,Equip!$A:$N,13,FALSE),0)&gt;=5,IFERROR(VLOOKUP(AJ899,Equip!$A:$N,13,FALSE),0)&lt;=9),INT(VLOOKUP(AJ899,Equip!$A:$N,6,FALSE)*SQRT(AN899)),0)</f>
        <v>0</v>
      </c>
      <c r="AT899">
        <f>IF(AND(IFERROR(VLOOKUP(AK899,Equip!$A:$N,13,FALSE),0)&gt;=5,IFERROR(VLOOKUP(AK899,Equip!$A:$N,13,FALSE),0)&lt;=9),INT(VLOOKUP(AK899,Equip!$A:$N,6,FALSE)*SQRT(AO899)),0)</f>
        <v>0</v>
      </c>
      <c r="AU899">
        <f>IF(AND(IFERROR(VLOOKUP(AL899,Equip!$A:$N,13,FALSE),0)&gt;=5,IFERROR(VLOOKUP(AL899,Equip!$A:$N,13,FALSE),0)&lt;=9),INT(VLOOKUP(AL899,Equip!$A:$N,6,FALSE)*SQRT(AP899)),0)</f>
        <v>0</v>
      </c>
      <c r="AV899">
        <f>IF(AND(IFERROR(VLOOKUP(AM899,Equip!$A:$N,13,FALSE),0)&gt;=5,IFERROR(VLOOKUP(AM899,Equip!$A:$N,13,FALSE),0)&lt;=9),INT(VLOOKUP(AM899,Equip!$A:$N,6,FALSE)*SQRT(AQ899)),0)</f>
        <v>0</v>
      </c>
      <c r="AW899">
        <f t="shared" si="2245"/>
        <v>0</v>
      </c>
      <c r="AX899">
        <f t="shared" si="2246"/>
        <v>760</v>
      </c>
    </row>
    <row r="900" spans="1:50">
      <c r="A900">
        <v>964</v>
      </c>
      <c r="B900" t="s">
        <v>1197</v>
      </c>
      <c r="C900" t="s">
        <v>1197</v>
      </c>
      <c r="D900">
        <v>0</v>
      </c>
      <c r="E900">
        <v>0</v>
      </c>
      <c r="F900">
        <v>0</v>
      </c>
      <c r="G900">
        <v>901</v>
      </c>
      <c r="H900">
        <v>0</v>
      </c>
      <c r="I900">
        <v>0</v>
      </c>
      <c r="J900">
        <v>0</v>
      </c>
      <c r="K900">
        <v>1</v>
      </c>
      <c r="L900">
        <v>1</v>
      </c>
      <c r="M900">
        <v>57</v>
      </c>
      <c r="N900">
        <v>57</v>
      </c>
      <c r="O900">
        <v>32</v>
      </c>
      <c r="P900">
        <v>24</v>
      </c>
      <c r="Q900">
        <v>60</v>
      </c>
      <c r="R900">
        <v>60</v>
      </c>
      <c r="S900">
        <v>24</v>
      </c>
      <c r="T900">
        <v>82</v>
      </c>
      <c r="U900">
        <v>10</v>
      </c>
      <c r="V900">
        <v>10</v>
      </c>
      <c r="W900">
        <v>1</v>
      </c>
      <c r="X900">
        <v>30</v>
      </c>
      <c r="Y900">
        <v>5</v>
      </c>
      <c r="Z900">
        <v>0</v>
      </c>
      <c r="AA900">
        <v>0</v>
      </c>
      <c r="AB900">
        <v>32</v>
      </c>
      <c r="AC900">
        <v>60</v>
      </c>
      <c r="AD900">
        <v>24</v>
      </c>
      <c r="AE900">
        <v>24</v>
      </c>
      <c r="AF900">
        <v>30</v>
      </c>
      <c r="AG900">
        <v>60</v>
      </c>
      <c r="AH900">
        <v>82</v>
      </c>
      <c r="AI900">
        <v>10</v>
      </c>
      <c r="AJ900">
        <v>531</v>
      </c>
      <c r="AK900">
        <v>545</v>
      </c>
      <c r="AL900">
        <v>542</v>
      </c>
      <c r="AM900">
        <v>-1</v>
      </c>
      <c r="AN900">
        <v>0</v>
      </c>
      <c r="AO900">
        <v>0</v>
      </c>
      <c r="AP900">
        <v>0</v>
      </c>
      <c r="AQ900">
        <v>0</v>
      </c>
      <c r="AR900">
        <f t="shared" si="2255"/>
        <v>0</v>
      </c>
      <c r="AS900">
        <f>IF(AND(IFERROR(VLOOKUP(AJ900,Equip!$A:$N,13,FALSE),0)&gt;=5,IFERROR(VLOOKUP(AJ900,Equip!$A:$N,13,FALSE),0)&lt;=9),INT(VLOOKUP(AJ900,Equip!$A:$N,6,FALSE)*SQRT(AN900)),0)</f>
        <v>0</v>
      </c>
      <c r="AT900">
        <f>IF(AND(IFERROR(VLOOKUP(AK900,Equip!$A:$N,13,FALSE),0)&gt;=5,IFERROR(VLOOKUP(AK900,Equip!$A:$N,13,FALSE),0)&lt;=9),INT(VLOOKUP(AK900,Equip!$A:$N,6,FALSE)*SQRT(AO900)),0)</f>
        <v>0</v>
      </c>
      <c r="AU900">
        <f>IF(AND(IFERROR(VLOOKUP(AL900,Equip!$A:$N,13,FALSE),0)&gt;=5,IFERROR(VLOOKUP(AL900,Equip!$A:$N,13,FALSE),0)&lt;=9),INT(VLOOKUP(AL900,Equip!$A:$N,6,FALSE)*SQRT(AP900)),0)</f>
        <v>0</v>
      </c>
      <c r="AV900">
        <f>IF(AND(IFERROR(VLOOKUP(AM900,Equip!$A:$N,13,FALSE),0)&gt;=5,IFERROR(VLOOKUP(AM900,Equip!$A:$N,13,FALSE),0)&lt;=9),INT(VLOOKUP(AM900,Equip!$A:$N,6,FALSE)*SQRT(AQ900)),0)</f>
        <v>0</v>
      </c>
      <c r="AW900">
        <f t="shared" ref="AW900:AW917" si="2256">SUM(AS900:AV900)</f>
        <v>0</v>
      </c>
      <c r="AX900">
        <f t="shared" ref="AX900:AX917" si="2257">SUM(N900,AB900:AE900,AG900:AI900)</f>
        <v>349</v>
      </c>
    </row>
    <row r="901" spans="1:50">
      <c r="A901">
        <v>965</v>
      </c>
      <c r="B901" t="s">
        <v>1198</v>
      </c>
      <c r="C901" t="s">
        <v>1198</v>
      </c>
      <c r="D901">
        <v>0</v>
      </c>
      <c r="E901">
        <v>0</v>
      </c>
      <c r="F901">
        <v>0</v>
      </c>
      <c r="G901">
        <v>912</v>
      </c>
      <c r="H901">
        <v>0</v>
      </c>
      <c r="I901">
        <v>0</v>
      </c>
      <c r="J901">
        <v>0</v>
      </c>
      <c r="K901">
        <v>12</v>
      </c>
      <c r="L901">
        <v>4</v>
      </c>
      <c r="M901">
        <v>174</v>
      </c>
      <c r="N901">
        <v>174</v>
      </c>
      <c r="O901">
        <v>40</v>
      </c>
      <c r="P901">
        <v>120</v>
      </c>
      <c r="Q901">
        <v>0</v>
      </c>
      <c r="R901">
        <v>50</v>
      </c>
      <c r="S901">
        <v>90</v>
      </c>
      <c r="T901">
        <v>0</v>
      </c>
      <c r="U901">
        <v>10</v>
      </c>
      <c r="V901">
        <v>60</v>
      </c>
      <c r="W901">
        <v>0</v>
      </c>
      <c r="X901">
        <v>30</v>
      </c>
      <c r="Y901">
        <v>10</v>
      </c>
      <c r="Z901">
        <v>0</v>
      </c>
      <c r="AA901">
        <v>0</v>
      </c>
      <c r="AB901">
        <v>40</v>
      </c>
      <c r="AC901">
        <v>0</v>
      </c>
      <c r="AD901">
        <v>90</v>
      </c>
      <c r="AE901">
        <v>120</v>
      </c>
      <c r="AF901">
        <v>30</v>
      </c>
      <c r="AG901">
        <v>50</v>
      </c>
      <c r="AH901">
        <v>0</v>
      </c>
      <c r="AI901">
        <v>60</v>
      </c>
      <c r="AJ901">
        <v>521</v>
      </c>
      <c r="AK901">
        <v>524</v>
      </c>
      <c r="AL901">
        <v>518</v>
      </c>
      <c r="AM901">
        <v>518</v>
      </c>
      <c r="AN901">
        <v>36</v>
      </c>
      <c r="AO901">
        <v>36</v>
      </c>
      <c r="AP901">
        <v>36</v>
      </c>
      <c r="AQ901">
        <v>36</v>
      </c>
      <c r="AR901">
        <f t="shared" si="2255"/>
        <v>144</v>
      </c>
      <c r="AS901">
        <f>IF(AND(IFERROR(VLOOKUP(AJ901,Equip!$A:$N,13,FALSE),0)&gt;=5,IFERROR(VLOOKUP(AJ901,Equip!$A:$N,13,FALSE),0)&lt;=9),INT(VLOOKUP(AJ901,Equip!$A:$N,6,FALSE)*SQRT(AN901)),0)</f>
        <v>0</v>
      </c>
      <c r="AT901">
        <f>IF(AND(IFERROR(VLOOKUP(AK901,Equip!$A:$N,13,FALSE),0)&gt;=5,IFERROR(VLOOKUP(AK901,Equip!$A:$N,13,FALSE),0)&lt;=9),INT(VLOOKUP(AK901,Equip!$A:$N,6,FALSE)*SQRT(AO901)),0)</f>
        <v>0</v>
      </c>
      <c r="AU901">
        <f>IF(AND(IFERROR(VLOOKUP(AL901,Equip!$A:$N,13,FALSE),0)&gt;=5,IFERROR(VLOOKUP(AL901,Equip!$A:$N,13,FALSE),0)&lt;=9),INT(VLOOKUP(AL901,Equip!$A:$N,6,FALSE)*SQRT(AP901)),0)</f>
        <v>0</v>
      </c>
      <c r="AV901">
        <f>IF(AND(IFERROR(VLOOKUP(AM901,Equip!$A:$N,13,FALSE),0)&gt;=5,IFERROR(VLOOKUP(AM901,Equip!$A:$N,13,FALSE),0)&lt;=9),INT(VLOOKUP(AM901,Equip!$A:$N,6,FALSE)*SQRT(AQ901)),0)</f>
        <v>0</v>
      </c>
      <c r="AW901">
        <f t="shared" si="2256"/>
        <v>0</v>
      </c>
      <c r="AX901">
        <f t="shared" si="2257"/>
        <v>534</v>
      </c>
    </row>
    <row r="902" spans="1:50">
      <c r="A902">
        <v>966</v>
      </c>
      <c r="B902" t="s">
        <v>1199</v>
      </c>
      <c r="C902" t="s">
        <v>1199</v>
      </c>
      <c r="D902">
        <v>0</v>
      </c>
      <c r="E902">
        <v>0</v>
      </c>
      <c r="F902">
        <v>0</v>
      </c>
      <c r="G902">
        <v>909</v>
      </c>
      <c r="H902">
        <v>0</v>
      </c>
      <c r="I902">
        <v>0</v>
      </c>
      <c r="J902">
        <v>0</v>
      </c>
      <c r="K902">
        <v>3</v>
      </c>
      <c r="L902">
        <v>4</v>
      </c>
      <c r="M902">
        <v>104</v>
      </c>
      <c r="N902">
        <v>104</v>
      </c>
      <c r="O902">
        <v>88</v>
      </c>
      <c r="P902">
        <v>80</v>
      </c>
      <c r="Q902">
        <v>80</v>
      </c>
      <c r="R902">
        <v>57</v>
      </c>
      <c r="S902">
        <v>58</v>
      </c>
      <c r="T902">
        <v>0</v>
      </c>
      <c r="U902">
        <v>10</v>
      </c>
      <c r="V902">
        <v>30</v>
      </c>
      <c r="W902">
        <v>2</v>
      </c>
      <c r="X902">
        <v>40</v>
      </c>
      <c r="Y902">
        <v>10</v>
      </c>
      <c r="Z902">
        <v>0</v>
      </c>
      <c r="AA902">
        <v>0</v>
      </c>
      <c r="AB902">
        <v>88</v>
      </c>
      <c r="AC902">
        <v>80</v>
      </c>
      <c r="AD902">
        <v>58</v>
      </c>
      <c r="AE902">
        <v>80</v>
      </c>
      <c r="AF902">
        <v>40</v>
      </c>
      <c r="AG902">
        <v>57</v>
      </c>
      <c r="AH902">
        <v>0</v>
      </c>
      <c r="AI902">
        <v>30</v>
      </c>
      <c r="AJ902">
        <v>505</v>
      </c>
      <c r="AK902">
        <v>505</v>
      </c>
      <c r="AL902">
        <v>515</v>
      </c>
      <c r="AM902">
        <v>526</v>
      </c>
      <c r="AN902">
        <v>4</v>
      </c>
      <c r="AO902">
        <v>4</v>
      </c>
      <c r="AP902">
        <v>4</v>
      </c>
      <c r="AQ902">
        <v>4</v>
      </c>
      <c r="AR902">
        <f t="shared" si="2255"/>
        <v>16</v>
      </c>
      <c r="AS902">
        <f>IF(AND(IFERROR(VLOOKUP(AJ902,Equip!$A:$N,13,FALSE),0)&gt;=5,IFERROR(VLOOKUP(AJ902,Equip!$A:$N,13,FALSE),0)&lt;=9),INT(VLOOKUP(AJ902,Equip!$A:$N,6,FALSE)*SQRT(AN902)),0)</f>
        <v>0</v>
      </c>
      <c r="AT902">
        <f>IF(AND(IFERROR(VLOOKUP(AK902,Equip!$A:$N,13,FALSE),0)&gt;=5,IFERROR(VLOOKUP(AK902,Equip!$A:$N,13,FALSE),0)&lt;=9),INT(VLOOKUP(AK902,Equip!$A:$N,6,FALSE)*SQRT(AO902)),0)</f>
        <v>0</v>
      </c>
      <c r="AU902">
        <f>IF(AND(IFERROR(VLOOKUP(AL902,Equip!$A:$N,13,FALSE),0)&gt;=5,IFERROR(VLOOKUP(AL902,Equip!$A:$N,13,FALSE),0)&lt;=9),INT(VLOOKUP(AL902,Equip!$A:$N,6,FALSE)*SQRT(AP902)),0)</f>
        <v>0</v>
      </c>
      <c r="AV902">
        <f>IF(AND(IFERROR(VLOOKUP(AM902,Equip!$A:$N,13,FALSE),0)&gt;=5,IFERROR(VLOOKUP(AM902,Equip!$A:$N,13,FALSE),0)&lt;=9),INT(VLOOKUP(AM902,Equip!$A:$N,6,FALSE)*SQRT(AQ902)),0)</f>
        <v>0</v>
      </c>
      <c r="AW902">
        <f t="shared" si="2256"/>
        <v>0</v>
      </c>
      <c r="AX902">
        <f t="shared" si="2257"/>
        <v>497</v>
      </c>
    </row>
    <row r="903" spans="1:50">
      <c r="A903">
        <v>967</v>
      </c>
      <c r="B903" t="s">
        <v>1200</v>
      </c>
      <c r="C903" t="s">
        <v>1200</v>
      </c>
      <c r="D903">
        <v>0</v>
      </c>
      <c r="E903">
        <v>0</v>
      </c>
      <c r="F903">
        <v>0</v>
      </c>
      <c r="G903">
        <v>911</v>
      </c>
      <c r="H903">
        <v>0</v>
      </c>
      <c r="I903">
        <v>0</v>
      </c>
      <c r="J903">
        <v>0</v>
      </c>
      <c r="K903">
        <v>8</v>
      </c>
      <c r="L903">
        <v>10</v>
      </c>
      <c r="M903">
        <v>145</v>
      </c>
      <c r="N903">
        <v>145</v>
      </c>
      <c r="O903">
        <v>110</v>
      </c>
      <c r="P903">
        <v>110</v>
      </c>
      <c r="Q903">
        <v>0</v>
      </c>
      <c r="R903">
        <v>43</v>
      </c>
      <c r="S903">
        <v>88</v>
      </c>
      <c r="T903">
        <v>0</v>
      </c>
      <c r="U903">
        <v>5</v>
      </c>
      <c r="V903">
        <v>36</v>
      </c>
      <c r="W903">
        <v>3</v>
      </c>
      <c r="X903">
        <v>50</v>
      </c>
      <c r="Y903">
        <v>10</v>
      </c>
      <c r="Z903">
        <v>0</v>
      </c>
      <c r="AA903">
        <v>0</v>
      </c>
      <c r="AB903">
        <v>110</v>
      </c>
      <c r="AC903">
        <v>0</v>
      </c>
      <c r="AD903">
        <v>88</v>
      </c>
      <c r="AE903">
        <v>110</v>
      </c>
      <c r="AF903">
        <v>50</v>
      </c>
      <c r="AG903">
        <v>43</v>
      </c>
      <c r="AH903">
        <v>0</v>
      </c>
      <c r="AI903">
        <v>36</v>
      </c>
      <c r="AJ903">
        <v>509</v>
      </c>
      <c r="AK903">
        <v>509</v>
      </c>
      <c r="AL903">
        <v>529</v>
      </c>
      <c r="AM903">
        <v>526</v>
      </c>
      <c r="AN903">
        <v>5</v>
      </c>
      <c r="AO903">
        <v>5</v>
      </c>
      <c r="AP903">
        <v>5</v>
      </c>
      <c r="AQ903">
        <v>5</v>
      </c>
      <c r="AR903">
        <f t="shared" si="2255"/>
        <v>20</v>
      </c>
      <c r="AS903">
        <f>IF(AND(IFERROR(VLOOKUP(AJ903,Equip!$A:$N,13,FALSE),0)&gt;=5,IFERROR(VLOOKUP(AJ903,Equip!$A:$N,13,FALSE),0)&lt;=9),INT(VLOOKUP(AJ903,Equip!$A:$N,6,FALSE)*SQRT(AN903)),0)</f>
        <v>0</v>
      </c>
      <c r="AT903">
        <f>IF(AND(IFERROR(VLOOKUP(AK903,Equip!$A:$N,13,FALSE),0)&gt;=5,IFERROR(VLOOKUP(AK903,Equip!$A:$N,13,FALSE),0)&lt;=9),INT(VLOOKUP(AK903,Equip!$A:$N,6,FALSE)*SQRT(AO903)),0)</f>
        <v>0</v>
      </c>
      <c r="AU903">
        <f>IF(AND(IFERROR(VLOOKUP(AL903,Equip!$A:$N,13,FALSE),0)&gt;=5,IFERROR(VLOOKUP(AL903,Equip!$A:$N,13,FALSE),0)&lt;=9),INT(VLOOKUP(AL903,Equip!$A:$N,6,FALSE)*SQRT(AP903)),0)</f>
        <v>0</v>
      </c>
      <c r="AV903">
        <f>IF(AND(IFERROR(VLOOKUP(AM903,Equip!$A:$N,13,FALSE),0)&gt;=5,IFERROR(VLOOKUP(AM903,Equip!$A:$N,13,FALSE),0)&lt;=9),INT(VLOOKUP(AM903,Equip!$A:$N,6,FALSE)*SQRT(AQ903)),0)</f>
        <v>0</v>
      </c>
      <c r="AW903">
        <f t="shared" si="2256"/>
        <v>0</v>
      </c>
      <c r="AX903">
        <f t="shared" si="2257"/>
        <v>532</v>
      </c>
    </row>
    <row r="904" spans="1:50">
      <c r="A904">
        <v>970</v>
      </c>
      <c r="B904" t="s">
        <v>1201</v>
      </c>
      <c r="C904" t="s">
        <v>1201</v>
      </c>
      <c r="D904">
        <v>0</v>
      </c>
      <c r="E904">
        <v>0</v>
      </c>
      <c r="F904">
        <v>0</v>
      </c>
      <c r="G904">
        <v>970</v>
      </c>
      <c r="H904">
        <v>0</v>
      </c>
      <c r="I904">
        <v>0</v>
      </c>
      <c r="J904">
        <v>0</v>
      </c>
      <c r="K904">
        <v>14</v>
      </c>
      <c r="L904">
        <v>1</v>
      </c>
      <c r="M904">
        <v>42</v>
      </c>
      <c r="N904">
        <v>42</v>
      </c>
      <c r="O904">
        <v>24</v>
      </c>
      <c r="P904">
        <v>15</v>
      </c>
      <c r="Q904">
        <v>70</v>
      </c>
      <c r="R904">
        <v>5</v>
      </c>
      <c r="S904">
        <v>0</v>
      </c>
      <c r="T904">
        <v>0</v>
      </c>
      <c r="U904">
        <v>5</v>
      </c>
      <c r="V904">
        <v>10</v>
      </c>
      <c r="W904">
        <v>1</v>
      </c>
      <c r="X904">
        <v>15</v>
      </c>
      <c r="Y904">
        <v>15</v>
      </c>
      <c r="Z904">
        <v>0</v>
      </c>
      <c r="AA904">
        <v>0</v>
      </c>
      <c r="AB904">
        <v>24</v>
      </c>
      <c r="AC904">
        <v>70</v>
      </c>
      <c r="AD904">
        <v>0</v>
      </c>
      <c r="AE904">
        <v>15</v>
      </c>
      <c r="AF904">
        <v>15</v>
      </c>
      <c r="AG904">
        <v>5</v>
      </c>
      <c r="AH904">
        <v>0</v>
      </c>
      <c r="AI904">
        <v>10</v>
      </c>
      <c r="AJ904">
        <v>514</v>
      </c>
      <c r="AK904">
        <v>503</v>
      </c>
      <c r="AL904">
        <v>-1</v>
      </c>
      <c r="AM904">
        <v>-1</v>
      </c>
      <c r="AN904">
        <v>0</v>
      </c>
      <c r="AO904">
        <v>0</v>
      </c>
      <c r="AP904">
        <v>0</v>
      </c>
      <c r="AQ904">
        <v>0</v>
      </c>
      <c r="AR904">
        <f t="shared" si="2255"/>
        <v>0</v>
      </c>
      <c r="AS904">
        <f>IF(AND(IFERROR(VLOOKUP(AJ904,Equip!$A:$N,13,FALSE),0)&gt;=5,IFERROR(VLOOKUP(AJ904,Equip!$A:$N,13,FALSE),0)&lt;=9),INT(VLOOKUP(AJ904,Equip!$A:$N,6,FALSE)*SQRT(AN904)),0)</f>
        <v>0</v>
      </c>
      <c r="AT904">
        <f>IF(AND(IFERROR(VLOOKUP(AK904,Equip!$A:$N,13,FALSE),0)&gt;=5,IFERROR(VLOOKUP(AK904,Equip!$A:$N,13,FALSE),0)&lt;=9),INT(VLOOKUP(AK904,Equip!$A:$N,6,FALSE)*SQRT(AO904)),0)</f>
        <v>0</v>
      </c>
      <c r="AU904">
        <f>IF(AND(IFERROR(VLOOKUP(AL904,Equip!$A:$N,13,FALSE),0)&gt;=5,IFERROR(VLOOKUP(AL904,Equip!$A:$N,13,FALSE),0)&lt;=9),INT(VLOOKUP(AL904,Equip!$A:$N,6,FALSE)*SQRT(AP904)),0)</f>
        <v>0</v>
      </c>
      <c r="AV904">
        <f>IF(AND(IFERROR(VLOOKUP(AM904,Equip!$A:$N,13,FALSE),0)&gt;=5,IFERROR(VLOOKUP(AM904,Equip!$A:$N,13,FALSE),0)&lt;=9),INT(VLOOKUP(AM904,Equip!$A:$N,6,FALSE)*SQRT(AQ904)),0)</f>
        <v>0</v>
      </c>
      <c r="AW904">
        <f t="shared" si="2256"/>
        <v>0</v>
      </c>
      <c r="AX904">
        <f t="shared" si="2257"/>
        <v>166</v>
      </c>
    </row>
    <row r="905" spans="1:50">
      <c r="A905">
        <v>971</v>
      </c>
      <c r="B905" t="s">
        <v>1202</v>
      </c>
      <c r="C905" t="s">
        <v>1202</v>
      </c>
      <c r="D905">
        <v>0</v>
      </c>
      <c r="E905">
        <v>0</v>
      </c>
      <c r="F905">
        <v>0</v>
      </c>
      <c r="G905">
        <v>970</v>
      </c>
      <c r="H905">
        <v>0</v>
      </c>
      <c r="I905">
        <v>0</v>
      </c>
      <c r="J905">
        <v>0</v>
      </c>
      <c r="K905">
        <v>14</v>
      </c>
      <c r="L905">
        <v>1</v>
      </c>
      <c r="M905">
        <v>54</v>
      </c>
      <c r="N905">
        <v>54</v>
      </c>
      <c r="O905">
        <v>30</v>
      </c>
      <c r="P905">
        <v>30</v>
      </c>
      <c r="Q905">
        <v>100</v>
      </c>
      <c r="R905">
        <v>10</v>
      </c>
      <c r="S905">
        <v>0</v>
      </c>
      <c r="T905">
        <v>0</v>
      </c>
      <c r="U905">
        <v>5</v>
      </c>
      <c r="V905">
        <v>15</v>
      </c>
      <c r="W905">
        <v>1</v>
      </c>
      <c r="X905">
        <v>30</v>
      </c>
      <c r="Y905">
        <v>20</v>
      </c>
      <c r="Z905">
        <v>0</v>
      </c>
      <c r="AA905">
        <v>0</v>
      </c>
      <c r="AB905">
        <v>30</v>
      </c>
      <c r="AC905">
        <v>100</v>
      </c>
      <c r="AD905">
        <v>0</v>
      </c>
      <c r="AE905">
        <v>30</v>
      </c>
      <c r="AF905">
        <v>30</v>
      </c>
      <c r="AG905">
        <v>10</v>
      </c>
      <c r="AH905">
        <v>0</v>
      </c>
      <c r="AI905">
        <v>15</v>
      </c>
      <c r="AJ905">
        <v>515</v>
      </c>
      <c r="AK905">
        <v>515</v>
      </c>
      <c r="AL905">
        <v>503</v>
      </c>
      <c r="AM905">
        <v>-1</v>
      </c>
      <c r="AN905">
        <v>0</v>
      </c>
      <c r="AO905">
        <v>0</v>
      </c>
      <c r="AP905">
        <v>0</v>
      </c>
      <c r="AQ905">
        <v>0</v>
      </c>
      <c r="AR905">
        <f t="shared" si="2255"/>
        <v>0</v>
      </c>
      <c r="AS905">
        <f>IF(AND(IFERROR(VLOOKUP(AJ905,Equip!$A:$N,13,FALSE),0)&gt;=5,IFERROR(VLOOKUP(AJ905,Equip!$A:$N,13,FALSE),0)&lt;=9),INT(VLOOKUP(AJ905,Equip!$A:$N,6,FALSE)*SQRT(AN905)),0)</f>
        <v>0</v>
      </c>
      <c r="AT905">
        <f>IF(AND(IFERROR(VLOOKUP(AK905,Equip!$A:$N,13,FALSE),0)&gt;=5,IFERROR(VLOOKUP(AK905,Equip!$A:$N,13,FALSE),0)&lt;=9),INT(VLOOKUP(AK905,Equip!$A:$N,6,FALSE)*SQRT(AO905)),0)</f>
        <v>0</v>
      </c>
      <c r="AU905">
        <f>IF(AND(IFERROR(VLOOKUP(AL905,Equip!$A:$N,13,FALSE),0)&gt;=5,IFERROR(VLOOKUP(AL905,Equip!$A:$N,13,FALSE),0)&lt;=9),INT(VLOOKUP(AL905,Equip!$A:$N,6,FALSE)*SQRT(AP905)),0)</f>
        <v>0</v>
      </c>
      <c r="AV905">
        <f>IF(AND(IFERROR(VLOOKUP(AM905,Equip!$A:$N,13,FALSE),0)&gt;=5,IFERROR(VLOOKUP(AM905,Equip!$A:$N,13,FALSE),0)&lt;=9),INT(VLOOKUP(AM905,Equip!$A:$N,6,FALSE)*SQRT(AQ905)),0)</f>
        <v>0</v>
      </c>
      <c r="AW905">
        <f t="shared" si="2256"/>
        <v>0</v>
      </c>
      <c r="AX905">
        <f t="shared" si="2257"/>
        <v>239</v>
      </c>
    </row>
    <row r="906" spans="1:50">
      <c r="A906">
        <v>972</v>
      </c>
      <c r="B906" t="s">
        <v>1203</v>
      </c>
      <c r="C906" t="s">
        <v>1203</v>
      </c>
      <c r="D906">
        <v>0</v>
      </c>
      <c r="E906">
        <v>0</v>
      </c>
      <c r="F906">
        <v>0</v>
      </c>
      <c r="G906">
        <v>970</v>
      </c>
      <c r="H906">
        <v>0</v>
      </c>
      <c r="I906">
        <v>0</v>
      </c>
      <c r="J906">
        <v>0</v>
      </c>
      <c r="K906">
        <v>14</v>
      </c>
      <c r="L906">
        <v>1</v>
      </c>
      <c r="M906">
        <v>56</v>
      </c>
      <c r="N906">
        <v>56</v>
      </c>
      <c r="O906">
        <v>30</v>
      </c>
      <c r="P906">
        <v>42</v>
      </c>
      <c r="Q906">
        <v>135</v>
      </c>
      <c r="R906">
        <v>15</v>
      </c>
      <c r="S906">
        <v>0</v>
      </c>
      <c r="T906">
        <v>0</v>
      </c>
      <c r="U906">
        <v>5</v>
      </c>
      <c r="V906">
        <v>18</v>
      </c>
      <c r="W906">
        <v>1</v>
      </c>
      <c r="X906">
        <v>45</v>
      </c>
      <c r="Y906">
        <v>25</v>
      </c>
      <c r="Z906">
        <v>0</v>
      </c>
      <c r="AA906">
        <v>0</v>
      </c>
      <c r="AB906">
        <v>30</v>
      </c>
      <c r="AC906">
        <v>135</v>
      </c>
      <c r="AD906">
        <v>0</v>
      </c>
      <c r="AE906">
        <v>42</v>
      </c>
      <c r="AF906">
        <v>45</v>
      </c>
      <c r="AG906">
        <v>15</v>
      </c>
      <c r="AH906">
        <v>0</v>
      </c>
      <c r="AI906">
        <v>18</v>
      </c>
      <c r="AJ906">
        <v>515</v>
      </c>
      <c r="AK906">
        <v>515</v>
      </c>
      <c r="AL906">
        <v>515</v>
      </c>
      <c r="AM906">
        <v>-1</v>
      </c>
      <c r="AN906">
        <v>0</v>
      </c>
      <c r="AO906">
        <v>0</v>
      </c>
      <c r="AP906">
        <v>0</v>
      </c>
      <c r="AQ906">
        <v>0</v>
      </c>
      <c r="AR906">
        <f t="shared" si="2255"/>
        <v>0</v>
      </c>
      <c r="AS906">
        <f>IF(AND(IFERROR(VLOOKUP(AJ906,Equip!$A:$N,13,FALSE),0)&gt;=5,IFERROR(VLOOKUP(AJ906,Equip!$A:$N,13,FALSE),0)&lt;=9),INT(VLOOKUP(AJ906,Equip!$A:$N,6,FALSE)*SQRT(AN906)),0)</f>
        <v>0</v>
      </c>
      <c r="AT906">
        <f>IF(AND(IFERROR(VLOOKUP(AK906,Equip!$A:$N,13,FALSE),0)&gt;=5,IFERROR(VLOOKUP(AK906,Equip!$A:$N,13,FALSE),0)&lt;=9),INT(VLOOKUP(AK906,Equip!$A:$N,6,FALSE)*SQRT(AO906)),0)</f>
        <v>0</v>
      </c>
      <c r="AU906">
        <f>IF(AND(IFERROR(VLOOKUP(AL906,Equip!$A:$N,13,FALSE),0)&gt;=5,IFERROR(VLOOKUP(AL906,Equip!$A:$N,13,FALSE),0)&lt;=9),INT(VLOOKUP(AL906,Equip!$A:$N,6,FALSE)*SQRT(AP906)),0)</f>
        <v>0</v>
      </c>
      <c r="AV906">
        <f>IF(AND(IFERROR(VLOOKUP(AM906,Equip!$A:$N,13,FALSE),0)&gt;=5,IFERROR(VLOOKUP(AM906,Equip!$A:$N,13,FALSE),0)&lt;=9),INT(VLOOKUP(AM906,Equip!$A:$N,6,FALSE)*SQRT(AQ906)),0)</f>
        <v>0</v>
      </c>
      <c r="AW906">
        <f t="shared" si="2256"/>
        <v>0</v>
      </c>
      <c r="AX906">
        <f t="shared" si="2257"/>
        <v>296</v>
      </c>
    </row>
    <row r="907" spans="1:50">
      <c r="A907">
        <v>975</v>
      </c>
      <c r="B907" t="s">
        <v>1204</v>
      </c>
      <c r="C907" t="s">
        <v>1204</v>
      </c>
      <c r="D907">
        <v>0</v>
      </c>
      <c r="E907">
        <v>0</v>
      </c>
      <c r="F907">
        <v>0</v>
      </c>
      <c r="G907">
        <v>901</v>
      </c>
      <c r="H907">
        <v>0</v>
      </c>
      <c r="I907">
        <v>0</v>
      </c>
      <c r="J907">
        <v>0</v>
      </c>
      <c r="K907">
        <v>1</v>
      </c>
      <c r="L907">
        <v>1</v>
      </c>
      <c r="M907">
        <v>53</v>
      </c>
      <c r="N907">
        <v>53</v>
      </c>
      <c r="O907">
        <v>38</v>
      </c>
      <c r="P907">
        <v>22</v>
      </c>
      <c r="Q907">
        <v>60</v>
      </c>
      <c r="R907">
        <v>48</v>
      </c>
      <c r="S907">
        <v>30</v>
      </c>
      <c r="T907">
        <v>72</v>
      </c>
      <c r="U907">
        <v>10</v>
      </c>
      <c r="V907">
        <v>20</v>
      </c>
      <c r="W907">
        <v>1</v>
      </c>
      <c r="X907">
        <v>30</v>
      </c>
      <c r="Y907">
        <v>5</v>
      </c>
      <c r="Z907">
        <v>0</v>
      </c>
      <c r="AA907">
        <v>0</v>
      </c>
      <c r="AB907">
        <v>38</v>
      </c>
      <c r="AC907">
        <v>60</v>
      </c>
      <c r="AD907">
        <v>30</v>
      </c>
      <c r="AE907">
        <v>22</v>
      </c>
      <c r="AF907">
        <v>30</v>
      </c>
      <c r="AG907">
        <v>48</v>
      </c>
      <c r="AH907">
        <v>72</v>
      </c>
      <c r="AI907">
        <v>20</v>
      </c>
      <c r="AJ907">
        <v>502</v>
      </c>
      <c r="AK907">
        <v>545</v>
      </c>
      <c r="AL907">
        <v>542</v>
      </c>
      <c r="AM907">
        <v>-1</v>
      </c>
      <c r="AN907">
        <v>0</v>
      </c>
      <c r="AO907">
        <v>0</v>
      </c>
      <c r="AP907">
        <v>0</v>
      </c>
      <c r="AQ907">
        <v>0</v>
      </c>
      <c r="AR907">
        <f t="shared" ref="AR907:AR917" si="2258">SUM(AN907:AQ907)</f>
        <v>0</v>
      </c>
      <c r="AS907">
        <f>IF(AND(IFERROR(VLOOKUP(AJ907,Equip!$A:$N,13,FALSE),0)&gt;=5,IFERROR(VLOOKUP(AJ907,Equip!$A:$N,13,FALSE),0)&lt;=9),INT(VLOOKUP(AJ907,Equip!$A:$N,6,FALSE)*SQRT(AN907)),0)</f>
        <v>0</v>
      </c>
      <c r="AT907">
        <f>IF(AND(IFERROR(VLOOKUP(AK907,Equip!$A:$N,13,FALSE),0)&gt;=5,IFERROR(VLOOKUP(AK907,Equip!$A:$N,13,FALSE),0)&lt;=9),INT(VLOOKUP(AK907,Equip!$A:$N,6,FALSE)*SQRT(AO907)),0)</f>
        <v>0</v>
      </c>
      <c r="AU907">
        <f>IF(AND(IFERROR(VLOOKUP(AL907,Equip!$A:$N,13,FALSE),0)&gt;=5,IFERROR(VLOOKUP(AL907,Equip!$A:$N,13,FALSE),0)&lt;=9),INT(VLOOKUP(AL907,Equip!$A:$N,6,FALSE)*SQRT(AP907)),0)</f>
        <v>0</v>
      </c>
      <c r="AV907">
        <f>IF(AND(IFERROR(VLOOKUP(AM907,Equip!$A:$N,13,FALSE),0)&gt;=5,IFERROR(VLOOKUP(AM907,Equip!$A:$N,13,FALSE),0)&lt;=9),INT(VLOOKUP(AM907,Equip!$A:$N,6,FALSE)*SQRT(AQ907)),0)</f>
        <v>0</v>
      </c>
      <c r="AW907">
        <f t="shared" si="2256"/>
        <v>0</v>
      </c>
      <c r="AX907">
        <f t="shared" si="2257"/>
        <v>343</v>
      </c>
    </row>
    <row r="908" spans="1:50">
      <c r="A908">
        <v>976</v>
      </c>
      <c r="B908" t="s">
        <v>1205</v>
      </c>
      <c r="C908" t="s">
        <v>1205</v>
      </c>
      <c r="D908">
        <v>0</v>
      </c>
      <c r="E908">
        <v>0</v>
      </c>
      <c r="F908">
        <v>0</v>
      </c>
      <c r="G908">
        <v>902</v>
      </c>
      <c r="H908">
        <v>0</v>
      </c>
      <c r="I908">
        <v>0</v>
      </c>
      <c r="J908">
        <v>0</v>
      </c>
      <c r="K908">
        <v>1</v>
      </c>
      <c r="L908">
        <v>1</v>
      </c>
      <c r="M908">
        <v>55</v>
      </c>
      <c r="N908">
        <v>55</v>
      </c>
      <c r="O908">
        <v>38</v>
      </c>
      <c r="P908">
        <v>26</v>
      </c>
      <c r="Q908">
        <v>66</v>
      </c>
      <c r="R908">
        <v>52</v>
      </c>
      <c r="S908">
        <v>32</v>
      </c>
      <c r="T908">
        <v>80</v>
      </c>
      <c r="U908">
        <v>10</v>
      </c>
      <c r="V908">
        <v>20</v>
      </c>
      <c r="W908">
        <v>1</v>
      </c>
      <c r="X908">
        <v>36</v>
      </c>
      <c r="Y908">
        <v>5</v>
      </c>
      <c r="Z908">
        <v>0</v>
      </c>
      <c r="AA908">
        <v>0</v>
      </c>
      <c r="AB908">
        <v>38</v>
      </c>
      <c r="AC908">
        <v>66</v>
      </c>
      <c r="AD908">
        <v>32</v>
      </c>
      <c r="AE908">
        <v>26</v>
      </c>
      <c r="AF908">
        <v>36</v>
      </c>
      <c r="AG908">
        <v>52</v>
      </c>
      <c r="AH908">
        <v>80</v>
      </c>
      <c r="AI908">
        <v>20</v>
      </c>
      <c r="AJ908">
        <v>502</v>
      </c>
      <c r="AK908">
        <v>545</v>
      </c>
      <c r="AL908">
        <v>542</v>
      </c>
      <c r="AM908">
        <v>-1</v>
      </c>
      <c r="AN908">
        <v>0</v>
      </c>
      <c r="AO908">
        <v>0</v>
      </c>
      <c r="AP908">
        <v>0</v>
      </c>
      <c r="AQ908">
        <v>0</v>
      </c>
      <c r="AR908">
        <f t="shared" si="2258"/>
        <v>0</v>
      </c>
      <c r="AS908">
        <f>IF(AND(IFERROR(VLOOKUP(AJ908,Equip!$A:$N,13,FALSE),0)&gt;=5,IFERROR(VLOOKUP(AJ908,Equip!$A:$N,13,FALSE),0)&lt;=9),INT(VLOOKUP(AJ908,Equip!$A:$N,6,FALSE)*SQRT(AN908)),0)</f>
        <v>0</v>
      </c>
      <c r="AT908">
        <f>IF(AND(IFERROR(VLOOKUP(AK908,Equip!$A:$N,13,FALSE),0)&gt;=5,IFERROR(VLOOKUP(AK908,Equip!$A:$N,13,FALSE),0)&lt;=9),INT(VLOOKUP(AK908,Equip!$A:$N,6,FALSE)*SQRT(AO908)),0)</f>
        <v>0</v>
      </c>
      <c r="AU908">
        <f>IF(AND(IFERROR(VLOOKUP(AL908,Equip!$A:$N,13,FALSE),0)&gt;=5,IFERROR(VLOOKUP(AL908,Equip!$A:$N,13,FALSE),0)&lt;=9),INT(VLOOKUP(AL908,Equip!$A:$N,6,FALSE)*SQRT(AP908)),0)</f>
        <v>0</v>
      </c>
      <c r="AV908">
        <f>IF(AND(IFERROR(VLOOKUP(AM908,Equip!$A:$N,13,FALSE),0)&gt;=5,IFERROR(VLOOKUP(AM908,Equip!$A:$N,13,FALSE),0)&lt;=9),INT(VLOOKUP(AM908,Equip!$A:$N,6,FALSE)*SQRT(AQ908)),0)</f>
        <v>0</v>
      </c>
      <c r="AW908">
        <f t="shared" si="2256"/>
        <v>0</v>
      </c>
      <c r="AX908">
        <f t="shared" si="2257"/>
        <v>369</v>
      </c>
    </row>
    <row r="909" spans="1:50">
      <c r="A909">
        <v>977</v>
      </c>
      <c r="B909" t="s">
        <v>1206</v>
      </c>
      <c r="C909" t="s">
        <v>1206</v>
      </c>
      <c r="D909">
        <v>0</v>
      </c>
      <c r="E909">
        <v>0</v>
      </c>
      <c r="F909">
        <v>0</v>
      </c>
      <c r="G909">
        <v>903</v>
      </c>
      <c r="H909">
        <v>0</v>
      </c>
      <c r="I909">
        <v>0</v>
      </c>
      <c r="J909">
        <v>0</v>
      </c>
      <c r="K909">
        <v>1</v>
      </c>
      <c r="L909">
        <v>1</v>
      </c>
      <c r="M909">
        <v>56</v>
      </c>
      <c r="N909">
        <v>56</v>
      </c>
      <c r="O909">
        <v>44</v>
      </c>
      <c r="P909">
        <v>29</v>
      </c>
      <c r="Q909">
        <v>72</v>
      </c>
      <c r="R909">
        <v>56</v>
      </c>
      <c r="S909">
        <v>36</v>
      </c>
      <c r="T909">
        <v>80</v>
      </c>
      <c r="U909">
        <v>10</v>
      </c>
      <c r="V909">
        <v>24</v>
      </c>
      <c r="W909">
        <v>1</v>
      </c>
      <c r="X909">
        <v>42</v>
      </c>
      <c r="Y909">
        <v>5</v>
      </c>
      <c r="Z909">
        <v>0</v>
      </c>
      <c r="AA909">
        <v>0</v>
      </c>
      <c r="AB909">
        <v>44</v>
      </c>
      <c r="AC909">
        <v>72</v>
      </c>
      <c r="AD909">
        <v>36</v>
      </c>
      <c r="AE909">
        <v>29</v>
      </c>
      <c r="AF909">
        <v>42</v>
      </c>
      <c r="AG909">
        <v>56</v>
      </c>
      <c r="AH909">
        <v>80</v>
      </c>
      <c r="AI909">
        <v>24</v>
      </c>
      <c r="AJ909">
        <v>502</v>
      </c>
      <c r="AK909">
        <v>515</v>
      </c>
      <c r="AL909">
        <v>542</v>
      </c>
      <c r="AM909">
        <v>-1</v>
      </c>
      <c r="AN909">
        <v>0</v>
      </c>
      <c r="AO909">
        <v>0</v>
      </c>
      <c r="AP909">
        <v>0</v>
      </c>
      <c r="AQ909">
        <v>0</v>
      </c>
      <c r="AR909">
        <f t="shared" si="2258"/>
        <v>0</v>
      </c>
      <c r="AS909">
        <f>IF(AND(IFERROR(VLOOKUP(AJ909,Equip!$A:$N,13,FALSE),0)&gt;=5,IFERROR(VLOOKUP(AJ909,Equip!$A:$N,13,FALSE),0)&lt;=9),INT(VLOOKUP(AJ909,Equip!$A:$N,6,FALSE)*SQRT(AN909)),0)</f>
        <v>0</v>
      </c>
      <c r="AT909">
        <f>IF(AND(IFERROR(VLOOKUP(AK909,Equip!$A:$N,13,FALSE),0)&gt;=5,IFERROR(VLOOKUP(AK909,Equip!$A:$N,13,FALSE),0)&lt;=9),INT(VLOOKUP(AK909,Equip!$A:$N,6,FALSE)*SQRT(AO909)),0)</f>
        <v>0</v>
      </c>
      <c r="AU909">
        <f>IF(AND(IFERROR(VLOOKUP(AL909,Equip!$A:$N,13,FALSE),0)&gt;=5,IFERROR(VLOOKUP(AL909,Equip!$A:$N,13,FALSE),0)&lt;=9),INT(VLOOKUP(AL909,Equip!$A:$N,6,FALSE)*SQRT(AP909)),0)</f>
        <v>0</v>
      </c>
      <c r="AV909">
        <f>IF(AND(IFERROR(VLOOKUP(AM909,Equip!$A:$N,13,FALSE),0)&gt;=5,IFERROR(VLOOKUP(AM909,Equip!$A:$N,13,FALSE),0)&lt;=9),INT(VLOOKUP(AM909,Equip!$A:$N,6,FALSE)*SQRT(AQ909)),0)</f>
        <v>0</v>
      </c>
      <c r="AW909">
        <f t="shared" si="2256"/>
        <v>0</v>
      </c>
      <c r="AX909">
        <f t="shared" si="2257"/>
        <v>397</v>
      </c>
    </row>
    <row r="910" spans="1:50">
      <c r="A910">
        <v>978</v>
      </c>
      <c r="B910" t="s">
        <v>1207</v>
      </c>
      <c r="C910" t="s">
        <v>1207</v>
      </c>
      <c r="D910">
        <v>0</v>
      </c>
      <c r="E910">
        <v>0</v>
      </c>
      <c r="F910">
        <v>0</v>
      </c>
      <c r="G910">
        <v>904</v>
      </c>
      <c r="H910">
        <v>0</v>
      </c>
      <c r="I910">
        <v>0</v>
      </c>
      <c r="J910">
        <v>0</v>
      </c>
      <c r="K910">
        <v>1</v>
      </c>
      <c r="L910">
        <v>1</v>
      </c>
      <c r="M910">
        <v>58</v>
      </c>
      <c r="N910">
        <v>58</v>
      </c>
      <c r="O910">
        <v>48</v>
      </c>
      <c r="P910">
        <v>33</v>
      </c>
      <c r="Q910">
        <v>84</v>
      </c>
      <c r="R910">
        <v>66</v>
      </c>
      <c r="S910">
        <v>38</v>
      </c>
      <c r="T910">
        <v>88</v>
      </c>
      <c r="U910">
        <v>10</v>
      </c>
      <c r="V910">
        <v>28</v>
      </c>
      <c r="W910">
        <v>1</v>
      </c>
      <c r="X910">
        <v>48</v>
      </c>
      <c r="Y910">
        <v>5</v>
      </c>
      <c r="Z910">
        <v>0</v>
      </c>
      <c r="AA910">
        <v>0</v>
      </c>
      <c r="AB910">
        <v>48</v>
      </c>
      <c r="AC910">
        <v>84</v>
      </c>
      <c r="AD910">
        <v>38</v>
      </c>
      <c r="AE910">
        <v>33</v>
      </c>
      <c r="AF910">
        <v>48</v>
      </c>
      <c r="AG910">
        <v>66</v>
      </c>
      <c r="AH910">
        <v>88</v>
      </c>
      <c r="AI910">
        <v>28</v>
      </c>
      <c r="AJ910">
        <v>502</v>
      </c>
      <c r="AK910">
        <v>515</v>
      </c>
      <c r="AL910">
        <v>542</v>
      </c>
      <c r="AM910">
        <v>-1</v>
      </c>
      <c r="AN910">
        <v>0</v>
      </c>
      <c r="AO910">
        <v>0</v>
      </c>
      <c r="AP910">
        <v>0</v>
      </c>
      <c r="AQ910">
        <v>0</v>
      </c>
      <c r="AR910">
        <f t="shared" si="2258"/>
        <v>0</v>
      </c>
      <c r="AS910">
        <f>IF(AND(IFERROR(VLOOKUP(AJ910,Equip!$A:$N,13,FALSE),0)&gt;=5,IFERROR(VLOOKUP(AJ910,Equip!$A:$N,13,FALSE),0)&lt;=9),INT(VLOOKUP(AJ910,Equip!$A:$N,6,FALSE)*SQRT(AN910)),0)</f>
        <v>0</v>
      </c>
      <c r="AT910">
        <f>IF(AND(IFERROR(VLOOKUP(AK910,Equip!$A:$N,13,FALSE),0)&gt;=5,IFERROR(VLOOKUP(AK910,Equip!$A:$N,13,FALSE),0)&lt;=9),INT(VLOOKUP(AK910,Equip!$A:$N,6,FALSE)*SQRT(AO910)),0)</f>
        <v>0</v>
      </c>
      <c r="AU910">
        <f>IF(AND(IFERROR(VLOOKUP(AL910,Equip!$A:$N,13,FALSE),0)&gt;=5,IFERROR(VLOOKUP(AL910,Equip!$A:$N,13,FALSE),0)&lt;=9),INT(VLOOKUP(AL910,Equip!$A:$N,6,FALSE)*SQRT(AP910)),0)</f>
        <v>0</v>
      </c>
      <c r="AV910">
        <f>IF(AND(IFERROR(VLOOKUP(AM910,Equip!$A:$N,13,FALSE),0)&gt;=5,IFERROR(VLOOKUP(AM910,Equip!$A:$N,13,FALSE),0)&lt;=9),INT(VLOOKUP(AM910,Equip!$A:$N,6,FALSE)*SQRT(AQ910)),0)</f>
        <v>0</v>
      </c>
      <c r="AW910">
        <f t="shared" si="2256"/>
        <v>0</v>
      </c>
      <c r="AX910">
        <f t="shared" si="2257"/>
        <v>443</v>
      </c>
    </row>
    <row r="911" spans="1:50">
      <c r="A911">
        <v>979</v>
      </c>
      <c r="B911" t="s">
        <v>1159</v>
      </c>
      <c r="C911" t="s">
        <v>1159</v>
      </c>
      <c r="D911">
        <v>0</v>
      </c>
      <c r="E911">
        <v>0</v>
      </c>
      <c r="F911">
        <v>0</v>
      </c>
      <c r="G911">
        <v>912</v>
      </c>
      <c r="H911">
        <v>0</v>
      </c>
      <c r="I911">
        <v>0</v>
      </c>
      <c r="J911">
        <v>0</v>
      </c>
      <c r="K911">
        <v>12</v>
      </c>
      <c r="L911">
        <v>4</v>
      </c>
      <c r="M911">
        <v>112</v>
      </c>
      <c r="N911">
        <v>112</v>
      </c>
      <c r="O911">
        <v>25</v>
      </c>
      <c r="P911">
        <v>80</v>
      </c>
      <c r="Q911">
        <v>0</v>
      </c>
      <c r="R911">
        <v>45</v>
      </c>
      <c r="S911">
        <v>50</v>
      </c>
      <c r="T911">
        <v>0</v>
      </c>
      <c r="U911">
        <v>10</v>
      </c>
      <c r="V911">
        <v>50</v>
      </c>
      <c r="W911">
        <v>0</v>
      </c>
      <c r="X911">
        <v>30</v>
      </c>
      <c r="Y911">
        <v>5</v>
      </c>
      <c r="Z911">
        <v>0</v>
      </c>
      <c r="AA911">
        <v>0</v>
      </c>
      <c r="AB911">
        <v>25</v>
      </c>
      <c r="AC911">
        <v>0</v>
      </c>
      <c r="AD911">
        <v>50</v>
      </c>
      <c r="AE911">
        <v>80</v>
      </c>
      <c r="AF911">
        <v>30</v>
      </c>
      <c r="AG911">
        <v>45</v>
      </c>
      <c r="AH911">
        <v>0</v>
      </c>
      <c r="AI911">
        <v>50</v>
      </c>
      <c r="AJ911">
        <v>547</v>
      </c>
      <c r="AK911">
        <v>548</v>
      </c>
      <c r="AL911">
        <v>549</v>
      </c>
      <c r="AM911">
        <v>549</v>
      </c>
      <c r="AN911">
        <v>32</v>
      </c>
      <c r="AO911">
        <v>32</v>
      </c>
      <c r="AP911">
        <v>27</v>
      </c>
      <c r="AQ911">
        <v>5</v>
      </c>
      <c r="AR911">
        <f t="shared" si="2258"/>
        <v>96</v>
      </c>
      <c r="AS911">
        <f>IF(AND(IFERROR(VLOOKUP(AJ911,Equip!$A:$N,13,FALSE),0)&gt;=5,IFERROR(VLOOKUP(AJ911,Equip!$A:$N,13,FALSE),0)&lt;=9),INT(VLOOKUP(AJ911,Equip!$A:$N,6,FALSE)*SQRT(AN911)),0)</f>
        <v>0</v>
      </c>
      <c r="AT911">
        <f>IF(AND(IFERROR(VLOOKUP(AK911,Equip!$A:$N,13,FALSE),0)&gt;=5,IFERROR(VLOOKUP(AK911,Equip!$A:$N,13,FALSE),0)&lt;=9),INT(VLOOKUP(AK911,Equip!$A:$N,6,FALSE)*SQRT(AO911)),0)</f>
        <v>0</v>
      </c>
      <c r="AU911">
        <f>IF(AND(IFERROR(VLOOKUP(AL911,Equip!$A:$N,13,FALSE),0)&gt;=5,IFERROR(VLOOKUP(AL911,Equip!$A:$N,13,FALSE),0)&lt;=9),INT(VLOOKUP(AL911,Equip!$A:$N,6,FALSE)*SQRT(AP911)),0)</f>
        <v>0</v>
      </c>
      <c r="AV911">
        <f>IF(AND(IFERROR(VLOOKUP(AM911,Equip!$A:$N,13,FALSE),0)&gt;=5,IFERROR(VLOOKUP(AM911,Equip!$A:$N,13,FALSE),0)&lt;=9),INT(VLOOKUP(AM911,Equip!$A:$N,6,FALSE)*SQRT(AQ911)),0)</f>
        <v>0</v>
      </c>
      <c r="AW911">
        <f t="shared" si="2256"/>
        <v>0</v>
      </c>
      <c r="AX911">
        <f t="shared" si="2257"/>
        <v>362</v>
      </c>
    </row>
    <row r="912" spans="1:50">
      <c r="A912">
        <v>991</v>
      </c>
      <c r="B912" t="s">
        <v>1208</v>
      </c>
      <c r="C912" t="s">
        <v>1208</v>
      </c>
      <c r="D912">
        <v>0</v>
      </c>
      <c r="E912">
        <v>0</v>
      </c>
      <c r="F912">
        <v>0</v>
      </c>
      <c r="G912">
        <v>991</v>
      </c>
      <c r="H912">
        <v>0</v>
      </c>
      <c r="I912">
        <v>0</v>
      </c>
      <c r="J912">
        <v>0</v>
      </c>
      <c r="K912">
        <v>2</v>
      </c>
      <c r="L912">
        <v>2</v>
      </c>
      <c r="M912">
        <v>65</v>
      </c>
      <c r="N912">
        <v>65</v>
      </c>
      <c r="O912">
        <v>58</v>
      </c>
      <c r="P912">
        <v>55</v>
      </c>
      <c r="Q912">
        <v>84</v>
      </c>
      <c r="R912">
        <v>69</v>
      </c>
      <c r="S912">
        <v>88</v>
      </c>
      <c r="T912">
        <v>96</v>
      </c>
      <c r="U912">
        <v>10</v>
      </c>
      <c r="V912">
        <v>48</v>
      </c>
      <c r="W912">
        <v>2</v>
      </c>
      <c r="X912">
        <v>55</v>
      </c>
      <c r="Y912">
        <v>0</v>
      </c>
      <c r="Z912">
        <v>0</v>
      </c>
      <c r="AA912">
        <v>0</v>
      </c>
      <c r="AB912">
        <v>58</v>
      </c>
      <c r="AC912">
        <v>84</v>
      </c>
      <c r="AD912">
        <v>88</v>
      </c>
      <c r="AE912">
        <v>55</v>
      </c>
      <c r="AF912">
        <v>55</v>
      </c>
      <c r="AG912">
        <v>69</v>
      </c>
      <c r="AH912">
        <v>96</v>
      </c>
      <c r="AI912">
        <v>48</v>
      </c>
      <c r="AJ912">
        <v>550</v>
      </c>
      <c r="AK912">
        <v>550</v>
      </c>
      <c r="AL912">
        <v>545</v>
      </c>
      <c r="AM912">
        <v>525</v>
      </c>
      <c r="AN912">
        <v>0</v>
      </c>
      <c r="AO912">
        <v>0</v>
      </c>
      <c r="AP912">
        <v>3</v>
      </c>
      <c r="AQ912">
        <v>3</v>
      </c>
      <c r="AR912">
        <f t="shared" si="2258"/>
        <v>6</v>
      </c>
      <c r="AS912">
        <f>IF(AND(IFERROR(VLOOKUP(AJ912,Equip!$A:$N,13,FALSE),0)&gt;=5,IFERROR(VLOOKUP(AJ912,Equip!$A:$N,13,FALSE),0)&lt;=9),INT(VLOOKUP(AJ912,Equip!$A:$N,6,FALSE)*SQRT(AN912)),0)</f>
        <v>0</v>
      </c>
      <c r="AT912">
        <f>IF(AND(IFERROR(VLOOKUP(AK912,Equip!$A:$N,13,FALSE),0)&gt;=5,IFERROR(VLOOKUP(AK912,Equip!$A:$N,13,FALSE),0)&lt;=9),INT(VLOOKUP(AK912,Equip!$A:$N,6,FALSE)*SQRT(AO912)),0)</f>
        <v>0</v>
      </c>
      <c r="AU912">
        <f>IF(AND(IFERROR(VLOOKUP(AL912,Equip!$A:$N,13,FALSE),0)&gt;=5,IFERROR(VLOOKUP(AL912,Equip!$A:$N,13,FALSE),0)&lt;=9),INT(VLOOKUP(AL912,Equip!$A:$N,6,FALSE)*SQRT(AP912)),0)</f>
        <v>0</v>
      </c>
      <c r="AV912">
        <f>IF(AND(IFERROR(VLOOKUP(AM912,Equip!$A:$N,13,FALSE),0)&gt;=5,IFERROR(VLOOKUP(AM912,Equip!$A:$N,13,FALSE),0)&lt;=9),INT(VLOOKUP(AM912,Equip!$A:$N,6,FALSE)*SQRT(AQ912)),0)</f>
        <v>0</v>
      </c>
      <c r="AW912">
        <f t="shared" si="2256"/>
        <v>0</v>
      </c>
      <c r="AX912">
        <f t="shared" si="2257"/>
        <v>563</v>
      </c>
    </row>
    <row r="913" spans="1:50">
      <c r="A913">
        <v>992</v>
      </c>
      <c r="B913" t="s">
        <v>1209</v>
      </c>
      <c r="C913" t="s">
        <v>1209</v>
      </c>
      <c r="D913">
        <v>0</v>
      </c>
      <c r="E913">
        <v>0</v>
      </c>
      <c r="F913">
        <v>0</v>
      </c>
      <c r="G913">
        <v>991</v>
      </c>
      <c r="H913">
        <v>0</v>
      </c>
      <c r="I913">
        <v>0</v>
      </c>
      <c r="J913">
        <v>0</v>
      </c>
      <c r="K913">
        <v>2</v>
      </c>
      <c r="L913">
        <v>2</v>
      </c>
      <c r="M913">
        <v>83</v>
      </c>
      <c r="N913">
        <v>83</v>
      </c>
      <c r="O913">
        <v>64</v>
      </c>
      <c r="P913">
        <v>68</v>
      </c>
      <c r="Q913">
        <v>92</v>
      </c>
      <c r="R913">
        <v>74</v>
      </c>
      <c r="S913">
        <v>96</v>
      </c>
      <c r="T913">
        <v>98</v>
      </c>
      <c r="U913">
        <v>10</v>
      </c>
      <c r="V913">
        <v>58</v>
      </c>
      <c r="W913">
        <v>2</v>
      </c>
      <c r="X913">
        <v>66</v>
      </c>
      <c r="Y913">
        <v>5</v>
      </c>
      <c r="Z913">
        <v>0</v>
      </c>
      <c r="AA913">
        <v>0</v>
      </c>
      <c r="AB913">
        <v>64</v>
      </c>
      <c r="AC913">
        <v>92</v>
      </c>
      <c r="AD913">
        <v>96</v>
      </c>
      <c r="AE913">
        <v>68</v>
      </c>
      <c r="AF913">
        <v>66</v>
      </c>
      <c r="AG913">
        <v>74</v>
      </c>
      <c r="AH913">
        <v>98</v>
      </c>
      <c r="AI913">
        <v>58</v>
      </c>
      <c r="AJ913">
        <v>550</v>
      </c>
      <c r="AK913">
        <v>550</v>
      </c>
      <c r="AL913">
        <v>545</v>
      </c>
      <c r="AM913">
        <v>525</v>
      </c>
      <c r="AN913">
        <v>0</v>
      </c>
      <c r="AO913">
        <v>0</v>
      </c>
      <c r="AP913">
        <v>3</v>
      </c>
      <c r="AQ913">
        <v>3</v>
      </c>
      <c r="AR913">
        <f t="shared" si="2258"/>
        <v>6</v>
      </c>
      <c r="AS913">
        <f>IF(AND(IFERROR(VLOOKUP(AJ913,Equip!$A:$N,13,FALSE),0)&gt;=5,IFERROR(VLOOKUP(AJ913,Equip!$A:$N,13,FALSE),0)&lt;=9),INT(VLOOKUP(AJ913,Equip!$A:$N,6,FALSE)*SQRT(AN913)),0)</f>
        <v>0</v>
      </c>
      <c r="AT913">
        <f>IF(AND(IFERROR(VLOOKUP(AK913,Equip!$A:$N,13,FALSE),0)&gt;=5,IFERROR(VLOOKUP(AK913,Equip!$A:$N,13,FALSE),0)&lt;=9),INT(VLOOKUP(AK913,Equip!$A:$N,6,FALSE)*SQRT(AO913)),0)</f>
        <v>0</v>
      </c>
      <c r="AU913">
        <f>IF(AND(IFERROR(VLOOKUP(AL913,Equip!$A:$N,13,FALSE),0)&gt;=5,IFERROR(VLOOKUP(AL913,Equip!$A:$N,13,FALSE),0)&lt;=9),INT(VLOOKUP(AL913,Equip!$A:$N,6,FALSE)*SQRT(AP913)),0)</f>
        <v>0</v>
      </c>
      <c r="AV913">
        <f>IF(AND(IFERROR(VLOOKUP(AM913,Equip!$A:$N,13,FALSE),0)&gt;=5,IFERROR(VLOOKUP(AM913,Equip!$A:$N,13,FALSE),0)&lt;=9),INT(VLOOKUP(AM913,Equip!$A:$N,6,FALSE)*SQRT(AQ913)),0)</f>
        <v>0</v>
      </c>
      <c r="AW913">
        <f t="shared" si="2256"/>
        <v>0</v>
      </c>
      <c r="AX913">
        <f t="shared" si="2257"/>
        <v>633</v>
      </c>
    </row>
    <row r="914" spans="1:50">
      <c r="A914">
        <v>994</v>
      </c>
      <c r="B914" t="s">
        <v>1210</v>
      </c>
      <c r="C914" t="s">
        <v>1210</v>
      </c>
      <c r="D914">
        <v>0</v>
      </c>
      <c r="E914">
        <v>0</v>
      </c>
      <c r="F914">
        <v>0</v>
      </c>
      <c r="G914">
        <v>994</v>
      </c>
      <c r="H914">
        <v>0</v>
      </c>
      <c r="I914">
        <v>0</v>
      </c>
      <c r="J914">
        <v>0</v>
      </c>
      <c r="K914">
        <v>3</v>
      </c>
      <c r="L914">
        <v>4</v>
      </c>
      <c r="M914">
        <v>97</v>
      </c>
      <c r="N914">
        <v>97</v>
      </c>
      <c r="O914">
        <v>73</v>
      </c>
      <c r="P914">
        <v>82</v>
      </c>
      <c r="Q914">
        <v>66</v>
      </c>
      <c r="R914">
        <v>60</v>
      </c>
      <c r="S914">
        <v>72</v>
      </c>
      <c r="T914">
        <v>0</v>
      </c>
      <c r="U914">
        <v>10</v>
      </c>
      <c r="V914">
        <v>40</v>
      </c>
      <c r="W914">
        <v>2</v>
      </c>
      <c r="X914">
        <v>60</v>
      </c>
      <c r="Y914">
        <v>0</v>
      </c>
      <c r="Z914">
        <v>0</v>
      </c>
      <c r="AA914">
        <v>0</v>
      </c>
      <c r="AB914">
        <v>73</v>
      </c>
      <c r="AC914">
        <v>66</v>
      </c>
      <c r="AD914">
        <v>72</v>
      </c>
      <c r="AE914">
        <v>82</v>
      </c>
      <c r="AF914">
        <v>60</v>
      </c>
      <c r="AG914">
        <v>60</v>
      </c>
      <c r="AH914">
        <v>0</v>
      </c>
      <c r="AI914">
        <v>40</v>
      </c>
      <c r="AJ914">
        <v>505</v>
      </c>
      <c r="AK914">
        <v>505</v>
      </c>
      <c r="AL914">
        <v>515</v>
      </c>
      <c r="AM914">
        <v>525</v>
      </c>
      <c r="AN914">
        <v>0</v>
      </c>
      <c r="AO914">
        <v>0</v>
      </c>
      <c r="AP914">
        <v>0</v>
      </c>
      <c r="AQ914">
        <v>4</v>
      </c>
      <c r="AR914">
        <f t="shared" si="2258"/>
        <v>4</v>
      </c>
      <c r="AS914">
        <f>IF(AND(IFERROR(VLOOKUP(AJ914,Equip!$A:$N,13,FALSE),0)&gt;=5,IFERROR(VLOOKUP(AJ914,Equip!$A:$N,13,FALSE),0)&lt;=9),INT(VLOOKUP(AJ914,Equip!$A:$N,6,FALSE)*SQRT(AN914)),0)</f>
        <v>0</v>
      </c>
      <c r="AT914">
        <f>IF(AND(IFERROR(VLOOKUP(AK914,Equip!$A:$N,13,FALSE),0)&gt;=5,IFERROR(VLOOKUP(AK914,Equip!$A:$N,13,FALSE),0)&lt;=9),INT(VLOOKUP(AK914,Equip!$A:$N,6,FALSE)*SQRT(AO914)),0)</f>
        <v>0</v>
      </c>
      <c r="AU914">
        <f>IF(AND(IFERROR(VLOOKUP(AL914,Equip!$A:$N,13,FALSE),0)&gt;=5,IFERROR(VLOOKUP(AL914,Equip!$A:$N,13,FALSE),0)&lt;=9),INT(VLOOKUP(AL914,Equip!$A:$N,6,FALSE)*SQRT(AP914)),0)</f>
        <v>0</v>
      </c>
      <c r="AV914">
        <f>IF(AND(IFERROR(VLOOKUP(AM914,Equip!$A:$N,13,FALSE),0)&gt;=5,IFERROR(VLOOKUP(AM914,Equip!$A:$N,13,FALSE),0)&lt;=9),INT(VLOOKUP(AM914,Equip!$A:$N,6,FALSE)*SQRT(AQ914)),0)</f>
        <v>0</v>
      </c>
      <c r="AW914">
        <f t="shared" si="2256"/>
        <v>0</v>
      </c>
      <c r="AX914">
        <f t="shared" si="2257"/>
        <v>490</v>
      </c>
    </row>
    <row r="915" spans="1:50">
      <c r="A915">
        <v>995</v>
      </c>
      <c r="B915" t="s">
        <v>1211</v>
      </c>
      <c r="C915" t="s">
        <v>1211</v>
      </c>
      <c r="D915">
        <v>0</v>
      </c>
      <c r="E915">
        <v>0</v>
      </c>
      <c r="F915">
        <v>0</v>
      </c>
      <c r="G915">
        <v>994</v>
      </c>
      <c r="H915">
        <v>0</v>
      </c>
      <c r="I915">
        <v>0</v>
      </c>
      <c r="J915">
        <v>0</v>
      </c>
      <c r="K915">
        <v>3</v>
      </c>
      <c r="L915">
        <v>4</v>
      </c>
      <c r="M915">
        <v>104</v>
      </c>
      <c r="N915">
        <v>104</v>
      </c>
      <c r="O915">
        <v>79</v>
      </c>
      <c r="P915">
        <v>89</v>
      </c>
      <c r="Q915">
        <v>74</v>
      </c>
      <c r="R915">
        <v>68</v>
      </c>
      <c r="S915">
        <v>79</v>
      </c>
      <c r="T915">
        <v>0</v>
      </c>
      <c r="U915">
        <v>10</v>
      </c>
      <c r="V915">
        <v>48</v>
      </c>
      <c r="W915">
        <v>2</v>
      </c>
      <c r="X915">
        <v>70</v>
      </c>
      <c r="Y915">
        <v>5</v>
      </c>
      <c r="Z915">
        <v>0</v>
      </c>
      <c r="AA915">
        <v>0</v>
      </c>
      <c r="AB915">
        <v>79</v>
      </c>
      <c r="AC915">
        <v>74</v>
      </c>
      <c r="AD915">
        <v>79</v>
      </c>
      <c r="AE915">
        <v>89</v>
      </c>
      <c r="AF915">
        <v>70</v>
      </c>
      <c r="AG915">
        <v>68</v>
      </c>
      <c r="AH915">
        <v>0</v>
      </c>
      <c r="AI915">
        <v>48</v>
      </c>
      <c r="AJ915">
        <v>505</v>
      </c>
      <c r="AK915">
        <v>505</v>
      </c>
      <c r="AL915">
        <v>515</v>
      </c>
      <c r="AM915">
        <v>525</v>
      </c>
      <c r="AN915">
        <v>0</v>
      </c>
      <c r="AO915">
        <v>0</v>
      </c>
      <c r="AP915">
        <v>0</v>
      </c>
      <c r="AQ915">
        <v>4</v>
      </c>
      <c r="AR915">
        <f t="shared" si="2258"/>
        <v>4</v>
      </c>
      <c r="AS915">
        <f>IF(AND(IFERROR(VLOOKUP(AJ915,Equip!$A:$N,13,FALSE),0)&gt;=5,IFERROR(VLOOKUP(AJ915,Equip!$A:$N,13,FALSE),0)&lt;=9),INT(VLOOKUP(AJ915,Equip!$A:$N,6,FALSE)*SQRT(AN915)),0)</f>
        <v>0</v>
      </c>
      <c r="AT915">
        <f>IF(AND(IFERROR(VLOOKUP(AK915,Equip!$A:$N,13,FALSE),0)&gt;=5,IFERROR(VLOOKUP(AK915,Equip!$A:$N,13,FALSE),0)&lt;=9),INT(VLOOKUP(AK915,Equip!$A:$N,6,FALSE)*SQRT(AO915)),0)</f>
        <v>0</v>
      </c>
      <c r="AU915">
        <f>IF(AND(IFERROR(VLOOKUP(AL915,Equip!$A:$N,13,FALSE),0)&gt;=5,IFERROR(VLOOKUP(AL915,Equip!$A:$N,13,FALSE),0)&lt;=9),INT(VLOOKUP(AL915,Equip!$A:$N,6,FALSE)*SQRT(AP915)),0)</f>
        <v>0</v>
      </c>
      <c r="AV915">
        <f>IF(AND(IFERROR(VLOOKUP(AM915,Equip!$A:$N,13,FALSE),0)&gt;=5,IFERROR(VLOOKUP(AM915,Equip!$A:$N,13,FALSE),0)&lt;=9),INT(VLOOKUP(AM915,Equip!$A:$N,6,FALSE)*SQRT(AQ915)),0)</f>
        <v>0</v>
      </c>
      <c r="AW915">
        <f t="shared" si="2256"/>
        <v>0</v>
      </c>
      <c r="AX915">
        <f t="shared" si="2257"/>
        <v>541</v>
      </c>
    </row>
    <row r="916" spans="1:50">
      <c r="A916">
        <v>998</v>
      </c>
      <c r="B916" t="s">
        <v>1212</v>
      </c>
      <c r="C916" t="s">
        <v>1213</v>
      </c>
      <c r="D916">
        <v>0</v>
      </c>
      <c r="E916">
        <v>0</v>
      </c>
      <c r="F916">
        <v>0</v>
      </c>
      <c r="G916">
        <v>998</v>
      </c>
      <c r="H916">
        <v>0</v>
      </c>
      <c r="I916">
        <v>0</v>
      </c>
      <c r="J916">
        <v>0</v>
      </c>
      <c r="K916">
        <v>7</v>
      </c>
      <c r="L916">
        <v>10</v>
      </c>
      <c r="M916">
        <v>999</v>
      </c>
      <c r="N916">
        <v>999</v>
      </c>
      <c r="O916">
        <v>200</v>
      </c>
      <c r="P916">
        <v>180</v>
      </c>
      <c r="Q916">
        <v>150</v>
      </c>
      <c r="R916">
        <v>120</v>
      </c>
      <c r="S916">
        <v>120</v>
      </c>
      <c r="T916">
        <v>110</v>
      </c>
      <c r="U916">
        <v>10</v>
      </c>
      <c r="V916">
        <v>50</v>
      </c>
      <c r="W916">
        <v>4</v>
      </c>
      <c r="X916">
        <v>30</v>
      </c>
      <c r="Y916">
        <v>10</v>
      </c>
      <c r="Z916">
        <v>0</v>
      </c>
      <c r="AA916">
        <v>0</v>
      </c>
      <c r="AB916">
        <v>200</v>
      </c>
      <c r="AC916">
        <v>150</v>
      </c>
      <c r="AD916">
        <v>120</v>
      </c>
      <c r="AE916">
        <v>180</v>
      </c>
      <c r="AF916">
        <v>30</v>
      </c>
      <c r="AG916">
        <v>120</v>
      </c>
      <c r="AH916">
        <v>110</v>
      </c>
      <c r="AI916">
        <v>50</v>
      </c>
      <c r="AJ916">
        <v>845</v>
      </c>
      <c r="AK916">
        <v>512</v>
      </c>
      <c r="AL916">
        <v>570</v>
      </c>
      <c r="AM916">
        <v>546</v>
      </c>
      <c r="AN916">
        <v>0</v>
      </c>
      <c r="AO916">
        <v>0</v>
      </c>
      <c r="AP916">
        <v>0</v>
      </c>
      <c r="AQ916">
        <v>220</v>
      </c>
      <c r="AR916">
        <f t="shared" si="2258"/>
        <v>220</v>
      </c>
      <c r="AS916">
        <f>IF(AND(IFERROR(VLOOKUP(AJ916,Equip!$A:$N,13,FALSE),0)&gt;=5,IFERROR(VLOOKUP(AJ916,Equip!$A:$N,13,FALSE),0)&lt;=9),INT(VLOOKUP(AJ916,Equip!$A:$N,6,FALSE)*SQRT(AN916)),0)</f>
        <v>0</v>
      </c>
      <c r="AT916">
        <f>IF(AND(IFERROR(VLOOKUP(AK916,Equip!$A:$N,13,FALSE),0)&gt;=5,IFERROR(VLOOKUP(AK916,Equip!$A:$N,13,FALSE),0)&lt;=9),INT(VLOOKUP(AK916,Equip!$A:$N,6,FALSE)*SQRT(AO916)),0)</f>
        <v>0</v>
      </c>
      <c r="AU916">
        <f>IF(AND(IFERROR(VLOOKUP(AL916,Equip!$A:$N,13,FALSE),0)&gt;=5,IFERROR(VLOOKUP(AL916,Equip!$A:$N,13,FALSE),0)&lt;=9),INT(VLOOKUP(AL916,Equip!$A:$N,6,FALSE)*SQRT(AP916)),0)</f>
        <v>0</v>
      </c>
      <c r="AV916">
        <f>IF(AND(IFERROR(VLOOKUP(AM916,Equip!$A:$N,13,FALSE),0)&gt;=5,IFERROR(VLOOKUP(AM916,Equip!$A:$N,13,FALSE),0)&lt;=9),INT(VLOOKUP(AM916,Equip!$A:$N,6,FALSE)*SQRT(AQ916)),0)</f>
        <v>0</v>
      </c>
      <c r="AW916">
        <f t="shared" si="2256"/>
        <v>0</v>
      </c>
      <c r="AX916">
        <f t="shared" si="2257"/>
        <v>1929</v>
      </c>
    </row>
    <row r="917" spans="1:50">
      <c r="A917">
        <v>999</v>
      </c>
      <c r="B917" t="s">
        <v>1214</v>
      </c>
      <c r="C917" t="s">
        <v>1215</v>
      </c>
      <c r="D917">
        <v>0</v>
      </c>
      <c r="E917">
        <v>0</v>
      </c>
      <c r="F917">
        <v>0</v>
      </c>
      <c r="G917">
        <v>999</v>
      </c>
      <c r="H917">
        <v>0</v>
      </c>
      <c r="I917">
        <v>0</v>
      </c>
      <c r="J917">
        <v>0</v>
      </c>
      <c r="K917">
        <v>7</v>
      </c>
      <c r="L917">
        <v>10</v>
      </c>
      <c r="M917">
        <v>999</v>
      </c>
      <c r="N917">
        <v>999</v>
      </c>
      <c r="O917">
        <v>200</v>
      </c>
      <c r="P917">
        <v>180</v>
      </c>
      <c r="Q917">
        <v>168</v>
      </c>
      <c r="R917">
        <v>120</v>
      </c>
      <c r="S917">
        <v>136</v>
      </c>
      <c r="T917">
        <v>117</v>
      </c>
      <c r="U917">
        <v>10</v>
      </c>
      <c r="V917">
        <v>50</v>
      </c>
      <c r="W917">
        <v>4</v>
      </c>
      <c r="X917">
        <v>50</v>
      </c>
      <c r="Y917">
        <v>10</v>
      </c>
      <c r="Z917">
        <v>0</v>
      </c>
      <c r="AA917">
        <v>0</v>
      </c>
      <c r="AB917">
        <v>200</v>
      </c>
      <c r="AC917">
        <v>168</v>
      </c>
      <c r="AD917">
        <v>136</v>
      </c>
      <c r="AE917">
        <v>180</v>
      </c>
      <c r="AF917">
        <v>50</v>
      </c>
      <c r="AG917">
        <v>120</v>
      </c>
      <c r="AH917">
        <v>117</v>
      </c>
      <c r="AI917">
        <v>50</v>
      </c>
      <c r="AJ917">
        <v>568</v>
      </c>
      <c r="AK917">
        <v>555</v>
      </c>
      <c r="AL917">
        <v>557</v>
      </c>
      <c r="AM917">
        <v>558</v>
      </c>
      <c r="AN917">
        <v>100</v>
      </c>
      <c r="AO917">
        <v>100</v>
      </c>
      <c r="AP917">
        <v>100</v>
      </c>
      <c r="AQ917">
        <v>100</v>
      </c>
      <c r="AR917">
        <f t="shared" si="2258"/>
        <v>400</v>
      </c>
      <c r="AS917">
        <f>IF(AND(IFERROR(VLOOKUP(AJ917,Equip!$A:$N,13,FALSE),0)&gt;=5,IFERROR(VLOOKUP(AJ917,Equip!$A:$N,13,FALSE),0)&lt;=9),INT(VLOOKUP(AJ917,Equip!$A:$N,6,FALSE)*SQRT(AN917)),0)</f>
        <v>0</v>
      </c>
      <c r="AT917">
        <f>IF(AND(IFERROR(VLOOKUP(AK917,Equip!$A:$N,13,FALSE),0)&gt;=5,IFERROR(VLOOKUP(AK917,Equip!$A:$N,13,FALSE),0)&lt;=9),INT(VLOOKUP(AK917,Equip!$A:$N,6,FALSE)*SQRT(AO917)),0)</f>
        <v>0</v>
      </c>
      <c r="AU917">
        <f>IF(AND(IFERROR(VLOOKUP(AL917,Equip!$A:$N,13,FALSE),0)&gt;=5,IFERROR(VLOOKUP(AL917,Equip!$A:$N,13,FALSE),0)&lt;=9),INT(VLOOKUP(AL917,Equip!$A:$N,6,FALSE)*SQRT(AP917)),0)</f>
        <v>0</v>
      </c>
      <c r="AV917">
        <f>IF(AND(IFERROR(VLOOKUP(AM917,Equip!$A:$N,13,FALSE),0)&gt;=5,IFERROR(VLOOKUP(AM917,Equip!$A:$N,13,FALSE),0)&lt;=9),INT(VLOOKUP(AM917,Equip!$A:$N,6,FALSE)*SQRT(AQ917)),0)</f>
        <v>0</v>
      </c>
      <c r="AW917">
        <f t="shared" si="2256"/>
        <v>0</v>
      </c>
      <c r="AX917">
        <f t="shared" si="2257"/>
        <v>1970</v>
      </c>
    </row>
  </sheetData>
  <autoFilter ref="A2:AY917"/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3"/>
  <sheetViews>
    <sheetView zoomScale="85" zoomScaleNormal="85" workbookViewId="0">
      <pane ySplit="7" topLeftCell="A8" activePane="bottomLeft" state="frozen"/>
      <selection pane="bottomLeft" activeCell="A21" sqref="A21"/>
    </sheetView>
  </sheetViews>
  <sheetFormatPr defaultRowHeight="12.75"/>
  <cols>
    <col min="1" max="1" width="45.7109375" style="21" customWidth="1"/>
    <col min="2" max="2" width="8" style="21" customWidth="1"/>
    <col min="3" max="3" width="9.28515625" style="20" bestFit="1" customWidth="1"/>
    <col min="4" max="4" width="9.140625" style="20" customWidth="1"/>
    <col min="5" max="16384" width="9.140625" style="20"/>
  </cols>
  <sheetData>
    <row r="1" spans="1:4">
      <c r="A1" s="28" t="s">
        <v>1374</v>
      </c>
      <c r="B1" s="25">
        <v>49</v>
      </c>
    </row>
    <row r="2" spans="1:4">
      <c r="A2" s="28" t="s">
        <v>1323</v>
      </c>
      <c r="B2" s="32">
        <f>MATCH(B1,Chara!A:A,0)</f>
        <v>123</v>
      </c>
    </row>
    <row r="3" spans="1:4">
      <c r="A3" s="28" t="s">
        <v>1376</v>
      </c>
      <c r="B3" s="32">
        <f>COUNTIF(Chara!A:A,B1)-1</f>
        <v>5</v>
      </c>
    </row>
    <row r="4" spans="1:4">
      <c r="A4" s="20"/>
      <c r="B4" s="20"/>
    </row>
    <row r="5" spans="1:4">
      <c r="A5" s="24" t="s">
        <v>1322</v>
      </c>
      <c r="B5" s="24"/>
    </row>
    <row r="6" spans="1:4" ht="14.25">
      <c r="A6" s="23" t="str">
        <f ca="1">"名前,"&amp;C6&amp;","</f>
        <v>名前,千岁,</v>
      </c>
      <c r="B6" s="23">
        <v>2</v>
      </c>
      <c r="C6" s="20" t="str">
        <f ca="1">OFFSET(Chara!$A$1,$B$2-1,B6-1)</f>
        <v>千岁</v>
      </c>
    </row>
    <row r="7" spans="1:4">
      <c r="A7" s="21" t="str">
        <f ca="1">"呼び名,"&amp;C7&amp;","</f>
        <v>呼び名,千岁,</v>
      </c>
      <c r="B7" s="21">
        <v>3</v>
      </c>
      <c r="C7" s="20" t="str">
        <f ca="1">OFFSET(Chara!$A$1,$B$2-1,B7-1)</f>
        <v>千岁</v>
      </c>
    </row>
    <row r="8" spans="1:4" ht="15" customHeight="1">
      <c r="A8" s="20"/>
      <c r="B8" s="20"/>
    </row>
    <row r="9" spans="1:4" ht="15" customHeight="1">
      <c r="A9" s="21" t="str">
        <f ca="1">"基礎,体力,"&amp;C9</f>
        <v>基礎,体力,1970</v>
      </c>
      <c r="B9" s="20">
        <v>5</v>
      </c>
      <c r="C9" s="20">
        <f ca="1">OFFSET(Chara!$A$1,$B$2-1,B9-1)</f>
        <v>1970</v>
      </c>
      <c r="D9" s="4"/>
    </row>
    <row r="10" spans="1:4" ht="15" customHeight="1">
      <c r="A10" s="21" t="str">
        <f ca="1">"基礎,気力,"&amp;C10</f>
        <v>基礎,気力,1085</v>
      </c>
      <c r="B10" s="20">
        <v>6</v>
      </c>
      <c r="C10" s="20">
        <f ca="1">OFFSET(Chara!$A$1,$B$2-1,B10-1)</f>
        <v>1085</v>
      </c>
      <c r="D10" s="4"/>
    </row>
    <row r="11" spans="1:4" ht="15" customHeight="1">
      <c r="A11" s="21" t="str">
        <f ca="1">"基礎,種族,"&amp;C11</f>
        <v>基礎,種族,49</v>
      </c>
      <c r="B11" s="20">
        <v>7</v>
      </c>
      <c r="C11" s="20">
        <f ca="1">OFFSET(Chara!$A$1,$B$2-1,B11-1)</f>
        <v>49</v>
      </c>
      <c r="D11" s="4"/>
    </row>
    <row r="12" spans="1:4" ht="15" customHeight="1">
      <c r="A12" s="23" t="str">
        <f ca="1">"素質,外見年齢,"&amp;C12</f>
        <v>素質,外見年齢,2</v>
      </c>
      <c r="B12" s="20">
        <v>8</v>
      </c>
      <c r="C12" s="20">
        <f ca="1">OFFSET(Chara!$A$1,$B$2-1,B12-1)</f>
        <v>2</v>
      </c>
      <c r="D12" s="4"/>
    </row>
    <row r="13" spans="1:4" ht="15" customHeight="1">
      <c r="A13" s="23"/>
      <c r="B13" s="20"/>
      <c r="D13" s="4"/>
    </row>
    <row r="14" spans="1:4" ht="15" customHeight="1">
      <c r="A14" s="23" t="str">
        <f ca="1">"素質,国籍,"&amp;C14</f>
        <v>素質,国籍,1</v>
      </c>
      <c r="B14" s="20">
        <v>9</v>
      </c>
      <c r="C14" s="20">
        <f ca="1">OFFSET(Chara!$A$1,$B$2-1,B14-1)</f>
        <v>1</v>
      </c>
      <c r="D14" s="4"/>
    </row>
    <row r="15" spans="1:4" ht="15" customHeight="1">
      <c r="A15" s="23" t="str">
        <f ca="1">"素質,个性,"&amp;C15</f>
        <v>素質,个性,0</v>
      </c>
      <c r="B15" s="20">
        <v>10</v>
      </c>
      <c r="C15" s="20">
        <f ca="1">OFFSET(Chara!$A$1,$B$2-1,B15-1)</f>
        <v>0</v>
      </c>
      <c r="D15" s="4"/>
    </row>
    <row r="16" spans="1:4" ht="15" customHeight="1">
      <c r="A16" s="23"/>
      <c r="B16" s="20"/>
      <c r="D16" s="4"/>
    </row>
    <row r="17" spans="1:4" ht="15" customHeight="1">
      <c r="A17" s="21" t="str">
        <f ca="1">"基礎,舰种,"&amp;C17</f>
        <v>基礎,舰种,10</v>
      </c>
      <c r="B17" s="20">
        <v>11</v>
      </c>
      <c r="C17" s="20">
        <f ca="1">OFFSET(Chara!$A$1,$B$2-1,B17-1)</f>
        <v>10</v>
      </c>
      <c r="D17" s="4"/>
    </row>
    <row r="18" spans="1:4" ht="15" customHeight="1">
      <c r="A18" s="21" t="str">
        <f ca="1">"基礎,适重,"&amp;C18</f>
        <v>基礎,适重,4</v>
      </c>
      <c r="B18" s="20">
        <v>12</v>
      </c>
      <c r="C18" s="20">
        <f ca="1">OFFSET(Chara!$A$1,$B$2-1,B18-1)</f>
        <v>4</v>
      </c>
      <c r="D18" s="4"/>
    </row>
    <row r="19" spans="1:4" ht="14.25">
      <c r="A19" s="21" t="str">
        <f ca="1">"基礎,最大耐久,"&amp;C19</f>
        <v>基礎,最大耐久,40</v>
      </c>
      <c r="B19" s="20">
        <v>13</v>
      </c>
      <c r="C19" s="20">
        <f ca="1">OFFSET(Chara!$A$1,$B$2-1,B19-1)</f>
        <v>40</v>
      </c>
      <c r="D19" s="4"/>
    </row>
    <row r="20" spans="1:4" ht="14.25">
      <c r="A20" s="21" t="str">
        <f ca="1">"基礎,耐久,"&amp;C20</f>
        <v>基礎,耐久,40</v>
      </c>
      <c r="B20" s="20">
        <v>14</v>
      </c>
      <c r="C20" s="20">
        <f ca="1">OFFSET(Chara!$A$1,$B$2-1,B20-1)</f>
        <v>40</v>
      </c>
      <c r="D20" s="4"/>
    </row>
    <row r="21" spans="1:4" ht="14.25">
      <c r="A21" s="21" t="str">
        <f ca="1">"基礎,火力,"&amp;C21</f>
        <v>基礎,火力,9</v>
      </c>
      <c r="B21" s="20">
        <v>15</v>
      </c>
      <c r="C21" s="20">
        <f ca="1">OFFSET(Chara!$A$1,$B$2-1,B21-1)</f>
        <v>9</v>
      </c>
      <c r="D21" s="4"/>
    </row>
    <row r="22" spans="1:4" ht="14.25">
      <c r="A22" s="21" t="str">
        <f ca="1">"基礎,装甲,"&amp;C22</f>
        <v>基礎,装甲,18</v>
      </c>
      <c r="B22" s="20">
        <v>16</v>
      </c>
      <c r="C22" s="20">
        <f ca="1">OFFSET(Chara!$A$1,$B$2-1,B22-1)</f>
        <v>18</v>
      </c>
      <c r="D22" s="4"/>
    </row>
    <row r="23" spans="1:4" ht="14.25">
      <c r="A23" s="21" t="str">
        <f ca="1">"基礎,雷装,"&amp;C23</f>
        <v>基礎,雷装,0</v>
      </c>
      <c r="B23" s="20">
        <v>17</v>
      </c>
      <c r="C23" s="20">
        <f ca="1">OFFSET(Chara!$A$1,$B$2-1,B23-1)</f>
        <v>0</v>
      </c>
      <c r="D23" s="4"/>
    </row>
    <row r="24" spans="1:4" ht="14.25">
      <c r="A24" s="21" t="str">
        <f ca="1">"基礎,回避,"&amp;C24</f>
        <v>基礎,回避,20</v>
      </c>
      <c r="B24" s="20">
        <v>18</v>
      </c>
      <c r="C24" s="20">
        <f ca="1">OFFSET(Chara!$A$1,$B$2-1,B24-1)</f>
        <v>20</v>
      </c>
      <c r="D24" s="4"/>
    </row>
    <row r="25" spans="1:4" ht="14.25">
      <c r="A25" s="21" t="str">
        <f ca="1">"基礎,对空,"&amp;C25</f>
        <v>基礎,对空,14</v>
      </c>
      <c r="B25" s="20">
        <v>19</v>
      </c>
      <c r="C25" s="20">
        <f ca="1">OFFSET(Chara!$A$1,$B$2-1,B25-1)</f>
        <v>14</v>
      </c>
      <c r="D25" s="4"/>
    </row>
    <row r="26" spans="1:4" ht="14.25">
      <c r="A26" s="21" t="str">
        <f ca="1">"基礎,搭载,"&amp;C26</f>
        <v>基礎,搭载,24</v>
      </c>
      <c r="B26" s="20"/>
      <c r="C26" s="20">
        <f ca="1">SUM(C50:C53)</f>
        <v>24</v>
      </c>
      <c r="D26" s="4"/>
    </row>
    <row r="27" spans="1:4" ht="14.25">
      <c r="A27" s="21" t="str">
        <f ca="1">"基礎,对潜,"&amp;C27</f>
        <v>基礎,对潜,0</v>
      </c>
      <c r="B27" s="20">
        <v>20</v>
      </c>
      <c r="C27" s="20">
        <f ca="1">OFFSET(Chara!$A$1,$B$2-1,B27-1)</f>
        <v>0</v>
      </c>
      <c r="D27" s="4"/>
    </row>
    <row r="28" spans="1:4" ht="14.25">
      <c r="A28" s="21" t="str">
        <f ca="1">"基礎,速度,"&amp;C28</f>
        <v>基礎,速度,10</v>
      </c>
      <c r="B28" s="20">
        <v>21</v>
      </c>
      <c r="C28" s="20">
        <f ca="1">OFFSET(Chara!$A$1,$B$2-1,B28-1)</f>
        <v>10</v>
      </c>
      <c r="D28" s="4"/>
    </row>
    <row r="29" spans="1:4" ht="14.25">
      <c r="A29" s="21" t="str">
        <f ca="1">"基礎,索敌,"&amp;C29</f>
        <v>基礎,索敌,34</v>
      </c>
      <c r="B29" s="20">
        <v>22</v>
      </c>
      <c r="C29" s="20">
        <f ca="1">OFFSET(Chara!$A$1,$B$2-1,B29-1)</f>
        <v>34</v>
      </c>
      <c r="D29" s="4"/>
    </row>
    <row r="30" spans="1:4" ht="14.25">
      <c r="A30" s="21" t="str">
        <f ca="1">"基礎,射程,"&amp;C30</f>
        <v>基礎,射程,1</v>
      </c>
      <c r="B30" s="20">
        <v>23</v>
      </c>
      <c r="C30" s="20">
        <f ca="1">OFFSET(Chara!$A$1,$B$2-1,B30-1)</f>
        <v>1</v>
      </c>
      <c r="D30" s="4"/>
    </row>
    <row r="31" spans="1:4" ht="14.25">
      <c r="A31" s="21" t="str">
        <f ca="1">"基礎,运气,"&amp;C31</f>
        <v>基礎,运气,10</v>
      </c>
      <c r="B31" s="20">
        <v>24</v>
      </c>
      <c r="C31" s="20">
        <f ca="1">OFFSET(Chara!$A$1,$B$2-1,B31-1)</f>
        <v>10</v>
      </c>
      <c r="D31" s="4"/>
    </row>
    <row r="32" spans="1:4" ht="14.25">
      <c r="A32" s="21" t="str">
        <f ca="1">"基礎,命中,"&amp;C32</f>
        <v>基礎,命中,0</v>
      </c>
      <c r="B32" s="20">
        <v>25</v>
      </c>
      <c r="C32" s="20">
        <f ca="1">OFFSET(Chara!$A$1,$B$2-1,B32-1)</f>
        <v>0</v>
      </c>
      <c r="D32" s="4"/>
    </row>
    <row r="33" spans="1:4" ht="14.25">
      <c r="A33" s="21" t="str">
        <f ca="1">"基礎,燃料,"&amp;C33</f>
        <v>基礎,燃料,35</v>
      </c>
      <c r="B33" s="20">
        <v>26</v>
      </c>
      <c r="C33" s="20">
        <f ca="1">OFFSET(Chara!$A$1,$B$2-1,B33-1)</f>
        <v>35</v>
      </c>
      <c r="D33" s="4"/>
    </row>
    <row r="34" spans="1:4" ht="14.25">
      <c r="A34" s="21" t="str">
        <f ca="1">"基礎,弹药,"&amp;C34</f>
        <v>基礎,弹药,35</v>
      </c>
      <c r="B34" s="20">
        <v>27</v>
      </c>
      <c r="C34" s="20">
        <f ca="1">OFFSET(Chara!$A$1,$B$2-1,B34-1)</f>
        <v>35</v>
      </c>
      <c r="D34" s="4"/>
    </row>
    <row r="35" spans="1:4" ht="14.25">
      <c r="B35" s="20"/>
      <c r="D35" s="4"/>
    </row>
    <row r="36" spans="1:4" ht="14.25">
      <c r="A36" s="21" t="str">
        <f ca="1">"CFLAG,1931,"&amp;C36&amp;" ;改装前属性最大火力"</f>
        <v>CFLAG,1931,29 ;改装前属性最大火力</v>
      </c>
      <c r="B36" s="20">
        <v>28</v>
      </c>
      <c r="C36" s="20">
        <f ca="1">OFFSET(Chara!$A$1,$B$2-1,B36-1)</f>
        <v>29</v>
      </c>
      <c r="D36" s="4"/>
    </row>
    <row r="37" spans="1:4" ht="14.25">
      <c r="A37" s="21" t="str">
        <f ca="1">"CFLAG,1932,"&amp;C37&amp;" ;改装前属性最大雷装"</f>
        <v>CFLAG,1932,0 ;改装前属性最大雷装</v>
      </c>
      <c r="B37" s="20">
        <v>29</v>
      </c>
      <c r="C37" s="20">
        <f ca="1">OFFSET(Chara!$A$1,$B$2-1,B37-1)</f>
        <v>0</v>
      </c>
      <c r="D37" s="4"/>
    </row>
    <row r="38" spans="1:4" ht="14.25">
      <c r="A38" s="21" t="str">
        <f ca="1">"CFLAG,1933,"&amp;C38&amp;" ;改装前属性最大对空"</f>
        <v>CFLAG,1933,29 ;改装前属性最大对空</v>
      </c>
      <c r="B38" s="20">
        <v>30</v>
      </c>
      <c r="C38" s="20">
        <f ca="1">OFFSET(Chara!$A$1,$B$2-1,B38-1)</f>
        <v>29</v>
      </c>
      <c r="D38" s="4"/>
    </row>
    <row r="39" spans="1:4" ht="14.25">
      <c r="A39" s="21" t="str">
        <f ca="1">"CFLAG,1934,"&amp;C39&amp;" ;改装前属性最大装甲"</f>
        <v>CFLAG,1934,39 ;改装前属性最大装甲</v>
      </c>
      <c r="B39" s="20">
        <v>31</v>
      </c>
      <c r="C39" s="20">
        <f ca="1">OFFSET(Chara!$A$1,$B$2-1,B39-1)</f>
        <v>39</v>
      </c>
      <c r="D39" s="4"/>
    </row>
    <row r="40" spans="1:4" ht="14.25">
      <c r="A40" s="21" t="str">
        <f ca="1">"CFLAG,1935,"&amp;C40&amp;" ;改装前属性最大运"</f>
        <v>CFLAG,1935,49 ;改装前属性最大运</v>
      </c>
      <c r="B40" s="20">
        <v>32</v>
      </c>
      <c r="C40" s="20">
        <f ca="1">OFFSET(Chara!$A$1,$B$2-1,B40-1)</f>
        <v>49</v>
      </c>
      <c r="D40" s="4"/>
    </row>
    <row r="41" spans="1:4" ht="14.25">
      <c r="A41" s="21" t="str">
        <f ca="1">"CFLAG,1936,"&amp;C41&amp;" ;改装前属性最大回避"</f>
        <v>CFLAG,1936,39 ;改装前属性最大回避</v>
      </c>
      <c r="B41" s="20">
        <v>33</v>
      </c>
      <c r="C41" s="20">
        <f ca="1">OFFSET(Chara!$A$1,$B$2-1,B41-1)</f>
        <v>39</v>
      </c>
      <c r="D41" s="4"/>
    </row>
    <row r="42" spans="1:4" ht="14.25">
      <c r="A42" s="21" t="str">
        <f ca="1">"CFLAG,1937,"&amp;C42&amp;" ;改装前属性最大对潜"</f>
        <v>CFLAG,1937,0 ;改装前属性最大对潜</v>
      </c>
      <c r="B42" s="20">
        <v>34</v>
      </c>
      <c r="C42" s="20">
        <f ca="1">OFFSET(Chara!$A$1,$B$2-1,B42-1)</f>
        <v>0</v>
      </c>
      <c r="D42" s="4"/>
    </row>
    <row r="43" spans="1:4" ht="14.25">
      <c r="A43" s="21" t="str">
        <f ca="1">"CFLAG,1938,"&amp;C43&amp;" ;改装前属性最大索敌"</f>
        <v>CFLAG,1938,69 ;改装前属性最大索敌</v>
      </c>
      <c r="B43" s="20">
        <v>35</v>
      </c>
      <c r="C43" s="20">
        <f ca="1">OFFSET(Chara!$A$1,$B$2-1,B43-1)</f>
        <v>69</v>
      </c>
      <c r="D43" s="4"/>
    </row>
    <row r="44" spans="1:4" ht="14.25">
      <c r="A44" s="21" t="s">
        <v>1375</v>
      </c>
      <c r="B44" s="20"/>
      <c r="D44" s="4"/>
    </row>
    <row r="45" spans="1:4" ht="14.25">
      <c r="A45" s="21" t="str">
        <f ca="1">"CFLAG,1942,"&amp;C45&amp;" ;初始装备1"</f>
        <v>CFLAG,1942,10 ;初始装备1</v>
      </c>
      <c r="B45" s="20">
        <v>36</v>
      </c>
      <c r="C45" s="20">
        <f ca="1">OFFSET(Chara!$A$1,$B$2-1,B45-1)</f>
        <v>10</v>
      </c>
      <c r="D45" s="4"/>
    </row>
    <row r="46" spans="1:4" ht="14.25">
      <c r="A46" s="21" t="str">
        <f ca="1">"CFLAG,1943,"&amp;C46&amp;" ;初始装备2"</f>
        <v>CFLAG,1943,25 ;初始装备2</v>
      </c>
      <c r="B46" s="20">
        <v>37</v>
      </c>
      <c r="C46" s="20">
        <f ca="1">OFFSET(Chara!$A$1,$B$2-1,B46-1)</f>
        <v>25</v>
      </c>
      <c r="D46" s="4"/>
    </row>
    <row r="47" spans="1:4" ht="14.25">
      <c r="A47" s="21" t="str">
        <f ca="1">"CFLAG,1944,"&amp;C47&amp;" ;初始装备3"</f>
        <v>CFLAG,1944,-1 ;初始装备3</v>
      </c>
      <c r="B47" s="20">
        <v>38</v>
      </c>
      <c r="C47" s="20">
        <f ca="1">OFFSET(Chara!$A$1,$B$2-1,B47-1)</f>
        <v>-1</v>
      </c>
      <c r="D47" s="4"/>
    </row>
    <row r="48" spans="1:4" ht="14.25">
      <c r="A48" s="21" t="str">
        <f ca="1">"CFLAG,1945,"&amp;C48&amp;" ;初始装备4"</f>
        <v>CFLAG,1945,-1 ;初始装备4</v>
      </c>
      <c r="B48" s="20">
        <v>39</v>
      </c>
      <c r="C48" s="20">
        <f ca="1">OFFSET(Chara!$A$1,$B$2-1,B48-1)</f>
        <v>-1</v>
      </c>
      <c r="D48" s="4"/>
    </row>
    <row r="49" spans="1:4" ht="14.25">
      <c r="A49" s="23" t="s">
        <v>1373</v>
      </c>
      <c r="B49" s="20"/>
      <c r="D49" s="4"/>
    </row>
    <row r="50" spans="1:4" ht="14.25">
      <c r="A50" s="21" t="str">
        <f ca="1">"CFLAG,1946,"&amp;C50&amp;" ;舰载机装备数量1"</f>
        <v>CFLAG,1946,12 ;舰载机装备数量1</v>
      </c>
      <c r="B50" s="20">
        <v>40</v>
      </c>
      <c r="C50" s="20">
        <f ca="1">OFFSET(Chara!$A$1,$B$2-1,B50-1)</f>
        <v>12</v>
      </c>
      <c r="D50" s="4"/>
    </row>
    <row r="51" spans="1:4" ht="14.25">
      <c r="A51" s="21" t="str">
        <f ca="1">"CFLAG,1947,"&amp;C51&amp;" ;舰载机装备数量2"</f>
        <v>CFLAG,1947,12 ;舰载机装备数量2</v>
      </c>
      <c r="B51" s="20">
        <v>41</v>
      </c>
      <c r="C51" s="20">
        <f ca="1">OFFSET(Chara!$A$1,$B$2-1,B51-1)</f>
        <v>12</v>
      </c>
      <c r="D51" s="4"/>
    </row>
    <row r="52" spans="1:4" ht="14.25">
      <c r="A52" s="21" t="str">
        <f ca="1">"CFLAG,1948,"&amp;C52&amp;" ;舰载机装备数量3"</f>
        <v>CFLAG,1948,0 ;舰载机装备数量3</v>
      </c>
      <c r="B52" s="20">
        <v>42</v>
      </c>
      <c r="C52" s="20">
        <f ca="1">OFFSET(Chara!$A$1,$B$2-1,B52-1)</f>
        <v>0</v>
      </c>
      <c r="D52" s="4"/>
    </row>
    <row r="53" spans="1:4" ht="14.25">
      <c r="A53" s="21" t="str">
        <f ca="1">"CFLAG,1949,"&amp;C53&amp;" ;舰载机装备数量4"</f>
        <v>CFLAG,1949,0 ;舰载机装备数量4</v>
      </c>
      <c r="B53" s="20">
        <v>43</v>
      </c>
      <c r="C53" s="20">
        <f ca="1">OFFSET(Chara!$A$1,$B$2-1,B53-1)</f>
        <v>0</v>
      </c>
      <c r="D53" s="4"/>
    </row>
    <row r="54" spans="1:4" ht="14.25">
      <c r="A54" s="20"/>
      <c r="B54" s="20"/>
      <c r="D54" s="4"/>
    </row>
    <row r="55" spans="1:4" ht="14.25">
      <c r="A55" s="24" t="s">
        <v>1321</v>
      </c>
      <c r="B55" s="20"/>
      <c r="D55" s="4"/>
    </row>
    <row r="56" spans="1:4" ht="14.25">
      <c r="A56" s="23" t="s">
        <v>1320</v>
      </c>
      <c r="B56" s="20"/>
      <c r="D56" s="4"/>
    </row>
    <row r="57" spans="1:4" ht="14.25">
      <c r="A57" s="21" t="str">
        <f ca="1">"CFLAG,1690,"&amp;C57&amp;" ;改一后火力"</f>
        <v>CFLAG,1690,9 ;改一后火力</v>
      </c>
      <c r="B57" s="20">
        <v>15</v>
      </c>
      <c r="C57" s="20">
        <f ca="1">IF($B$3&gt;=1, OFFSET(Chara!$A$1,$B$2,B57-1), 0)</f>
        <v>9</v>
      </c>
      <c r="D57" s="4"/>
    </row>
    <row r="58" spans="1:4" ht="14.25">
      <c r="A58" s="21" t="str">
        <f ca="1">"CFLAG,1691,"&amp;C58&amp;" ;改一后装甲"</f>
        <v>CFLAG,1691,20 ;改一后装甲</v>
      </c>
      <c r="B58" s="20">
        <v>16</v>
      </c>
      <c r="C58" s="20">
        <f ca="1">IF($B$3&gt;=1, OFFSET(Chara!$A$1,$B$2,B58-1), 0)</f>
        <v>20</v>
      </c>
      <c r="D58" s="4"/>
    </row>
    <row r="59" spans="1:4" ht="14.25">
      <c r="A59" s="21" t="str">
        <f ca="1">"CFLAG,1692,"&amp;C59&amp;" ;改一后雷装"</f>
        <v>CFLAG,1692,0 ;改一后雷装</v>
      </c>
      <c r="B59" s="20">
        <v>17</v>
      </c>
      <c r="C59" s="20">
        <f ca="1">IF($B$3&gt;=1, OFFSET(Chara!$A$1,$B$2,B59-1), 0)</f>
        <v>0</v>
      </c>
      <c r="D59" s="4"/>
    </row>
    <row r="60" spans="1:4" ht="14.25">
      <c r="A60" s="21" t="str">
        <f ca="1">"CFLAG,1693,"&amp;C60&amp;" ;改一后回避"</f>
        <v>CFLAG,1693,25 ;改一后回避</v>
      </c>
      <c r="B60" s="20">
        <v>18</v>
      </c>
      <c r="C60" s="20">
        <f ca="1">IF($B$3&gt;=1, OFFSET(Chara!$A$1,$B$2,B60-1), 0)</f>
        <v>25</v>
      </c>
      <c r="D60" s="4"/>
    </row>
    <row r="61" spans="1:4">
      <c r="A61" s="21" t="str">
        <f ca="1">"CFLAG,1694,"&amp;C61&amp;" ;改一后对空"</f>
        <v>CFLAG,1694,15 ;改一后对空</v>
      </c>
      <c r="B61" s="20">
        <v>19</v>
      </c>
      <c r="C61" s="20">
        <f ca="1">IF($B$3&gt;=1, OFFSET(Chara!$A$1,$B$2,B61-1), 0)</f>
        <v>15</v>
      </c>
    </row>
    <row r="62" spans="1:4">
      <c r="A62" s="21" t="str">
        <f ca="1">"CFLAG,1695,"&amp;C62&amp;" ;改一后对潜"</f>
        <v>CFLAG,1695,0 ;改一后对潜</v>
      </c>
      <c r="B62" s="20">
        <v>20</v>
      </c>
      <c r="C62" s="20">
        <f ca="1">IF($B$3&gt;=1, OFFSET(Chara!$A$1,$B$2,B62-1), 0)</f>
        <v>0</v>
      </c>
    </row>
    <row r="63" spans="1:4">
      <c r="A63" s="21" t="str">
        <f ca="1">"CFLAG,1696,"&amp;C63&amp;" ;改一后索敌"</f>
        <v>CFLAG,1696,36 ;改一后索敌</v>
      </c>
      <c r="B63" s="20">
        <v>22</v>
      </c>
      <c r="C63" s="20">
        <f ca="1">IF($B$3&gt;=1, OFFSET(Chara!$A$1,$B$2,B63-1), 0)</f>
        <v>36</v>
      </c>
    </row>
    <row r="64" spans="1:4">
      <c r="A64" s="21" t="str">
        <f ca="1">"CFLAG,1697,"&amp;C64&amp;" ;改一后运"</f>
        <v>CFLAG,1697,10 ;改一后运</v>
      </c>
      <c r="B64" s="20">
        <v>24</v>
      </c>
      <c r="C64" s="20">
        <f ca="1">IF($B$3&gt;=1, OFFSET(Chara!$A$1,$B$2,B64-1), 0)</f>
        <v>10</v>
      </c>
    </row>
    <row r="65" spans="1:3" ht="14.25">
      <c r="A65" s="23" t="s">
        <v>1314</v>
      </c>
      <c r="B65" s="20"/>
    </row>
    <row r="66" spans="1:3">
      <c r="A66" s="21" t="str">
        <f ca="1">"CFLAG,1702,"&amp;C66&amp;" ;改一最大火力"</f>
        <v>CFLAG,1702,29 ;改一最大火力</v>
      </c>
      <c r="B66" s="20">
        <v>28</v>
      </c>
      <c r="C66" s="20">
        <f ca="1">IF($B$3&gt;=1, OFFSET(Chara!$A$1,$B$2,B66-1), 0)</f>
        <v>29</v>
      </c>
    </row>
    <row r="67" spans="1:3">
      <c r="A67" s="21" t="str">
        <f ca="1">"CFLAG,1703,"&amp;C67&amp;" ;改一最大雷装"</f>
        <v>CFLAG,1703,29 ;改一最大雷装</v>
      </c>
      <c r="B67" s="20">
        <v>29</v>
      </c>
      <c r="C67" s="20">
        <f ca="1">IF($B$3&gt;=1, OFFSET(Chara!$A$1,$B$2,B67-1), 0)</f>
        <v>29</v>
      </c>
    </row>
    <row r="68" spans="1:3">
      <c r="A68" s="21" t="str">
        <f ca="1">"CFLAG,1704,"&amp;C68&amp;" ;改一最大对空"</f>
        <v>CFLAG,1704,29 ;改一最大对空</v>
      </c>
      <c r="B68" s="20">
        <v>30</v>
      </c>
      <c r="C68" s="20">
        <f ca="1">IF($B$3&gt;=1, OFFSET(Chara!$A$1,$B$2,B68-1), 0)</f>
        <v>29</v>
      </c>
    </row>
    <row r="69" spans="1:3">
      <c r="A69" s="21" t="str">
        <f ca="1">"CFLAG,1705,"&amp;C69&amp;" ;改一最大装甲"</f>
        <v>CFLAG,1705,39 ;改一最大装甲</v>
      </c>
      <c r="B69" s="20">
        <v>31</v>
      </c>
      <c r="C69" s="20">
        <f ca="1">IF($B$3&gt;=1, OFFSET(Chara!$A$1,$B$2,B69-1), 0)</f>
        <v>39</v>
      </c>
    </row>
    <row r="70" spans="1:3">
      <c r="A70" s="21" t="str">
        <f ca="1">"CFLAG,1706,"&amp;C70&amp;" ;改一最大运"</f>
        <v>CFLAG,1706,49 ;改一最大运</v>
      </c>
      <c r="B70" s="20">
        <v>32</v>
      </c>
      <c r="C70" s="20">
        <f ca="1">IF($B$3&gt;=1, OFFSET(Chara!$A$1,$B$2,B70-1), 0)</f>
        <v>49</v>
      </c>
    </row>
    <row r="71" spans="1:3">
      <c r="A71" s="21" t="str">
        <f ca="1">"CFLAG,1707,"&amp;C71&amp;" ;改一最大回避"</f>
        <v>CFLAG,1707,44 ;改一最大回避</v>
      </c>
      <c r="B71" s="20">
        <v>33</v>
      </c>
      <c r="C71" s="20">
        <f ca="1">IF($B$3&gt;=1, OFFSET(Chara!$A$1,$B$2,B71-1), 0)</f>
        <v>44</v>
      </c>
    </row>
    <row r="72" spans="1:3">
      <c r="A72" s="21" t="str">
        <f ca="1">"CFLAG,1708,"&amp;C72&amp;" ;改一最大对潜"</f>
        <v>CFLAG,1708,0 ;改一最大对潜</v>
      </c>
      <c r="B72" s="20">
        <v>34</v>
      </c>
      <c r="C72" s="20">
        <f ca="1">IF($B$3&gt;=1, OFFSET(Chara!$A$1,$B$2,B72-1), 0)</f>
        <v>0</v>
      </c>
    </row>
    <row r="73" spans="1:3">
      <c r="A73" s="21" t="str">
        <f ca="1">"CFLAG,1709,"&amp;C73&amp;" ;改一最大索敌"</f>
        <v>CFLAG,1709,69 ;改一最大索敌</v>
      </c>
      <c r="B73" s="20">
        <v>35</v>
      </c>
      <c r="C73" s="20">
        <f ca="1">IF($B$3&gt;=1, OFFSET(Chara!$A$1,$B$2,B73-1), 0)</f>
        <v>69</v>
      </c>
    </row>
    <row r="74" spans="1:3">
      <c r="A74" s="20"/>
      <c r="B74" s="20"/>
    </row>
    <row r="75" spans="1:3" ht="14.25">
      <c r="A75" s="23" t="s">
        <v>1377</v>
      </c>
      <c r="B75" s="23"/>
    </row>
    <row r="76" spans="1:3">
      <c r="A76" s="21" t="str">
        <f ca="1">"CFLAG,1711,"&amp;C76&amp;" ;改一装备1"</f>
        <v>CFLAG,1711,25 ;改一装备1</v>
      </c>
      <c r="B76" s="20">
        <v>36</v>
      </c>
      <c r="C76" s="20">
        <f ca="1">IF($B$3&gt;=1, OFFSET(Chara!$A$1,$B$2,B76-1), 0)</f>
        <v>25</v>
      </c>
    </row>
    <row r="77" spans="1:3">
      <c r="A77" s="21" t="str">
        <f ca="1">"CFLAG,1712,"&amp;C77&amp;" ;改一装备2"</f>
        <v>CFLAG,1712,26 ;改一装备2</v>
      </c>
      <c r="B77" s="20">
        <v>37</v>
      </c>
      <c r="C77" s="20">
        <f ca="1">IF($B$3&gt;=1, OFFSET(Chara!$A$1,$B$2,B77-1), 0)</f>
        <v>26</v>
      </c>
    </row>
    <row r="78" spans="1:3">
      <c r="A78" s="21" t="str">
        <f ca="1">"CFLAG,1713,"&amp;C78&amp;" ;改一装备3"</f>
        <v>CFLAG,1713,2 ;改一装备3</v>
      </c>
      <c r="B78" s="20">
        <v>38</v>
      </c>
      <c r="C78" s="20">
        <f ca="1">IF($B$3&gt;=1, OFFSET(Chara!$A$1,$B$2,B78-1), 0)</f>
        <v>2</v>
      </c>
    </row>
    <row r="79" spans="1:3">
      <c r="A79" s="21" t="str">
        <f ca="1">"CFLAG,1714,"&amp;C79&amp;" ;改一装备4"</f>
        <v>CFLAG,1714,-1 ;改一装备4</v>
      </c>
      <c r="B79" s="20">
        <v>39</v>
      </c>
      <c r="C79" s="20">
        <f ca="1">IF($B$3&gt;=1, OFFSET(Chara!$A$1,$B$2,B79-1), 0)</f>
        <v>-1</v>
      </c>
    </row>
    <row r="80" spans="1:3" ht="14.25">
      <c r="A80" s="23" t="s">
        <v>1371</v>
      </c>
      <c r="B80" s="20"/>
    </row>
    <row r="81" spans="1:4">
      <c r="A81" s="21" t="str">
        <f ca="1">"CFLAG,1715,"&amp;C81&amp;" ;改一舰载机数量1"</f>
        <v>CFLAG,1715,12 ;改一舰载机数量1</v>
      </c>
      <c r="B81" s="20">
        <v>40</v>
      </c>
      <c r="C81" s="20">
        <f ca="1">IF($B$3&gt;=1, OFFSET(Chara!$A$1,$B$2,B81-1), 0)</f>
        <v>12</v>
      </c>
    </row>
    <row r="82" spans="1:4">
      <c r="A82" s="21" t="str">
        <f ca="1">"CFLAG,1716,"&amp;C82&amp;" ;改一舰载机数量2"</f>
        <v>CFLAG,1716,6 ;改一舰载机数量2</v>
      </c>
      <c r="B82" s="20">
        <v>41</v>
      </c>
      <c r="C82" s="20">
        <f ca="1">IF($B$3&gt;=1, OFFSET(Chara!$A$1,$B$2,B82-1), 0)</f>
        <v>6</v>
      </c>
    </row>
    <row r="83" spans="1:4">
      <c r="A83" s="21" t="str">
        <f ca="1">"CFLAG,1717,"&amp;C83&amp;" ;改一舰载机数量3"</f>
        <v>CFLAG,1717,6 ;改一舰载机数量3</v>
      </c>
      <c r="B83" s="20">
        <v>42</v>
      </c>
      <c r="C83" s="20">
        <f ca="1">IF($B$3&gt;=1, OFFSET(Chara!$A$1,$B$2,B83-1), 0)</f>
        <v>6</v>
      </c>
    </row>
    <row r="84" spans="1:4">
      <c r="A84" s="21" t="str">
        <f ca="1">"CFLAG,1718,"&amp;C84&amp;" ;改一舰载机数量4"</f>
        <v>CFLAG,1718,0 ;改一舰载机数量4</v>
      </c>
      <c r="B84" s="20">
        <v>43</v>
      </c>
      <c r="C84" s="20">
        <f ca="1">IF($B$3&gt;=1, OFFSET(Chara!$A$1,$B$2,B84-1), 0)</f>
        <v>0</v>
      </c>
    </row>
    <row r="85" spans="1:4">
      <c r="A85" s="21" t="str">
        <f ca="1">"CFLAG,1719,"&amp;C85&amp;" ;改一最大耐久"</f>
        <v>CFLAG,1719,41 ;改一最大耐久</v>
      </c>
      <c r="B85" s="21">
        <v>14</v>
      </c>
      <c r="C85" s="20">
        <f ca="1">IF($B$3&gt;=1, OFFSET(Chara!$A$1,$B$2,B85-1), 0)</f>
        <v>41</v>
      </c>
    </row>
    <row r="86" spans="1:4">
      <c r="A86" s="21" t="str">
        <f ca="1">"CFLAG,1720,"&amp;D86&amp;" ;改一燃料弹药 XXX-XXX"</f>
        <v>CFLAG,1720,35040 ;改一燃料弹药 XXX-XXX</v>
      </c>
      <c r="B86" s="21">
        <v>26</v>
      </c>
      <c r="C86" s="20">
        <f ca="1">IF($B$3&gt;=1, OFFSET(Chara!$A$1,$B$2,B86-1), 0)</f>
        <v>35</v>
      </c>
      <c r="D86" s="20">
        <f ca="1">C86*1000+C87</f>
        <v>35040</v>
      </c>
    </row>
    <row r="87" spans="1:4">
      <c r="A87" s="20"/>
      <c r="B87" s="20">
        <v>27</v>
      </c>
      <c r="C87" s="20">
        <f ca="1">IF($B$3&gt;=1, OFFSET(Chara!$A$1,$B$2,B87-1), 0)</f>
        <v>40</v>
      </c>
    </row>
    <row r="88" spans="1:4">
      <c r="A88" s="24" t="s">
        <v>1315</v>
      </c>
      <c r="B88" s="24"/>
    </row>
    <row r="89" spans="1:4" ht="14.25">
      <c r="A89" s="23" t="s">
        <v>1372</v>
      </c>
      <c r="B89" s="23"/>
    </row>
    <row r="90" spans="1:4">
      <c r="A90" s="21" t="str">
        <f ca="1">"CFLAG,1680,"&amp;C90&amp;" ;改二后火力"</f>
        <v>CFLAG,1680,9 ;改二后火力</v>
      </c>
      <c r="B90" s="20">
        <v>15</v>
      </c>
      <c r="C90" s="20">
        <f ca="1">IF($B$3&gt;=2, OFFSET(Chara!$A$1,$B$2+1,B90-1), 0)</f>
        <v>9</v>
      </c>
    </row>
    <row r="91" spans="1:4">
      <c r="A91" s="21" t="str">
        <f ca="1">"CFLAG,1681,"&amp;C91&amp;" ;改二后装甲"</f>
        <v>CFLAG,1681,21 ;改二后装甲</v>
      </c>
      <c r="B91" s="20">
        <v>16</v>
      </c>
      <c r="C91" s="20">
        <f ca="1">IF($B$3&gt;=2, OFFSET(Chara!$A$1,$B$2+1,B91-1), 0)</f>
        <v>21</v>
      </c>
    </row>
    <row r="92" spans="1:4">
      <c r="A92" s="21" t="str">
        <f ca="1">"CFLAG,1682,"&amp;C92&amp;" ;改二后雷装"</f>
        <v>CFLAG,1682,15 ;改二后雷装</v>
      </c>
      <c r="B92" s="20">
        <v>17</v>
      </c>
      <c r="C92" s="20">
        <f ca="1">IF($B$3&gt;=2, OFFSET(Chara!$A$1,$B$2+1,B92-1), 0)</f>
        <v>15</v>
      </c>
    </row>
    <row r="93" spans="1:4">
      <c r="A93" s="21" t="str">
        <f ca="1">"CFLAG,1683,"&amp;C93&amp;" ;改二后回避"</f>
        <v>CFLAG,1683,27 ;改二后回避</v>
      </c>
      <c r="B93" s="20">
        <v>18</v>
      </c>
      <c r="C93" s="20">
        <f ca="1">IF($B$3&gt;=2, OFFSET(Chara!$A$1,$B$2+1,B93-1), 0)</f>
        <v>27</v>
      </c>
    </row>
    <row r="94" spans="1:4">
      <c r="A94" s="21" t="str">
        <f ca="1">"CFLAG,1684,"&amp;C94&amp;" ;改二后对空"</f>
        <v>CFLAG,1684,17 ;改二后对空</v>
      </c>
      <c r="B94" s="20">
        <v>19</v>
      </c>
      <c r="C94" s="20">
        <f ca="1">IF($B$3&gt;=2, OFFSET(Chara!$A$1,$B$2+1,B94-1), 0)</f>
        <v>17</v>
      </c>
    </row>
    <row r="95" spans="1:4">
      <c r="A95" s="21" t="str">
        <f ca="1">"CFLAG,1685,"&amp;C95&amp;" ;改二后对潜"</f>
        <v>CFLAG,1685,0 ;改二后对潜</v>
      </c>
      <c r="B95" s="20">
        <v>20</v>
      </c>
      <c r="C95" s="20">
        <f ca="1">IF($B$3&gt;=2, OFFSET(Chara!$A$1,$B$2+1,B95-1), 0)</f>
        <v>0</v>
      </c>
    </row>
    <row r="96" spans="1:4">
      <c r="A96" s="21" t="str">
        <f ca="1">"CFLAG,1686,"&amp;C96&amp;" ;改二后索敌"</f>
        <v>CFLAG,1686,30 ;改二后索敌</v>
      </c>
      <c r="B96" s="20">
        <v>22</v>
      </c>
      <c r="C96" s="20">
        <f ca="1">IF($B$3&gt;=2, OFFSET(Chara!$A$1,$B$2+1,B96-1), 0)</f>
        <v>30</v>
      </c>
    </row>
    <row r="97" spans="1:3">
      <c r="A97" s="21" t="str">
        <f ca="1">"CFLAG,1687,"&amp;C97&amp;" ;改二后运"</f>
        <v>CFLAG,1687,10 ;改二后运</v>
      </c>
      <c r="B97" s="20">
        <v>24</v>
      </c>
      <c r="C97" s="20">
        <f ca="1">IF($B$3&gt;=2, OFFSET(Chara!$A$1,$B$2+1,B97-1), 0)</f>
        <v>10</v>
      </c>
    </row>
    <row r="98" spans="1:3" ht="14.25">
      <c r="A98" s="23" t="s">
        <v>1314</v>
      </c>
      <c r="B98" s="20"/>
    </row>
    <row r="99" spans="1:3">
      <c r="A99" s="21" t="str">
        <f ca="1">"CFLAG,1722,"&amp;C99&amp;" ;改二最大火力"</f>
        <v>CFLAG,1722,29 ;改二最大火力</v>
      </c>
      <c r="B99" s="20">
        <v>28</v>
      </c>
      <c r="C99" s="20">
        <f ca="1">IF($B$3&gt;=2, OFFSET(Chara!$A$1,$B$2+1,B99-1), 0)</f>
        <v>29</v>
      </c>
    </row>
    <row r="100" spans="1:3">
      <c r="A100" s="21" t="str">
        <f ca="1">"CFLAG,1723,"&amp;C100&amp;" ;改二最大雷装"</f>
        <v>CFLAG,1723,72 ;改二最大雷装</v>
      </c>
      <c r="B100" s="20">
        <v>29</v>
      </c>
      <c r="C100" s="20">
        <f ca="1">IF($B$3&gt;=2, OFFSET(Chara!$A$1,$B$2+1,B100-1), 0)</f>
        <v>72</v>
      </c>
    </row>
    <row r="101" spans="1:3">
      <c r="A101" s="21" t="str">
        <f ca="1">"CFLAG,1724,"&amp;C101&amp;" ;改二最大对空"</f>
        <v>CFLAG,1724,39 ;改二最大对空</v>
      </c>
      <c r="B101" s="20">
        <v>30</v>
      </c>
      <c r="C101" s="20">
        <f ca="1">IF($B$3&gt;=2, OFFSET(Chara!$A$1,$B$2+1,B101-1), 0)</f>
        <v>39</v>
      </c>
    </row>
    <row r="102" spans="1:3">
      <c r="A102" s="21" t="str">
        <f ca="1">"CFLAG,1725,"&amp;C102&amp;" ;改二最大装甲"</f>
        <v>CFLAG,1725,39 ;改二最大装甲</v>
      </c>
      <c r="B102" s="20">
        <v>31</v>
      </c>
      <c r="C102" s="20">
        <f ca="1">IF($B$3&gt;=2, OFFSET(Chara!$A$1,$B$2+1,B102-1), 0)</f>
        <v>39</v>
      </c>
    </row>
    <row r="103" spans="1:3">
      <c r="A103" s="21" t="str">
        <f ca="1">"CFLAG,1726,"&amp;C103&amp;" ;改二最大运"</f>
        <v>CFLAG,1726,59 ;改二最大运</v>
      </c>
      <c r="B103" s="20">
        <v>32</v>
      </c>
      <c r="C103" s="20">
        <f ca="1">IF($B$3&gt;=2, OFFSET(Chara!$A$1,$B$2+1,B103-1), 0)</f>
        <v>59</v>
      </c>
    </row>
    <row r="104" spans="1:3">
      <c r="A104" s="21" t="str">
        <f ca="1">"CFLAG,1727,"&amp;C104&amp;" ;改二最大回避"</f>
        <v>CFLAG,1727,49 ;改二最大回避</v>
      </c>
      <c r="B104" s="20">
        <v>33</v>
      </c>
      <c r="C104" s="20">
        <f ca="1">IF($B$3&gt;=2, OFFSET(Chara!$A$1,$B$2+1,B104-1), 0)</f>
        <v>49</v>
      </c>
    </row>
    <row r="105" spans="1:3">
      <c r="A105" s="21" t="str">
        <f ca="1">"CFLAG,1728,"&amp;C105&amp;" ;改二最大对潜"</f>
        <v>CFLAG,1728,0 ;改二最大对潜</v>
      </c>
      <c r="B105" s="20">
        <v>34</v>
      </c>
      <c r="C105" s="20">
        <f ca="1">IF($B$3&gt;=2, OFFSET(Chara!$A$1,$B$2+1,B105-1), 0)</f>
        <v>0</v>
      </c>
    </row>
    <row r="106" spans="1:3">
      <c r="A106" s="21" t="str">
        <f ca="1">"CFLAG,1729,"&amp;C106&amp;" ;改二最大索敌"</f>
        <v>CFLAG,1729,69 ;改二最大索敌</v>
      </c>
      <c r="B106" s="20">
        <v>35</v>
      </c>
      <c r="C106" s="20">
        <f ca="1">IF($B$3&gt;=2, OFFSET(Chara!$A$1,$B$2+1,B106-1), 0)</f>
        <v>69</v>
      </c>
    </row>
    <row r="107" spans="1:3">
      <c r="A107" s="20"/>
      <c r="B107" s="20"/>
    </row>
    <row r="108" spans="1:3" ht="14.25">
      <c r="A108" s="23" t="s">
        <v>1377</v>
      </c>
      <c r="B108" s="23"/>
    </row>
    <row r="109" spans="1:3">
      <c r="A109" s="21" t="str">
        <f ca="1">"CFLAG,1731,"&amp;C109&amp;" ;改二装备1"</f>
        <v>CFLAG,1731,25 ;改二装备1</v>
      </c>
      <c r="B109" s="20">
        <v>36</v>
      </c>
      <c r="C109" s="20">
        <f ca="1">IF($B$3&gt;=2, OFFSET(Chara!$A$1,$B$2+1,B109-1), 0)</f>
        <v>25</v>
      </c>
    </row>
    <row r="110" spans="1:3">
      <c r="A110" s="21" t="str">
        <f ca="1">"CFLAG,1732,"&amp;C110&amp;" ;改二装备2"</f>
        <v>CFLAG,1732,41 ;改二装备2</v>
      </c>
      <c r="B110" s="20">
        <v>37</v>
      </c>
      <c r="C110" s="20">
        <f ca="1">IF($B$3&gt;=2, OFFSET(Chara!$A$1,$B$2+1,B110-1), 0)</f>
        <v>41</v>
      </c>
    </row>
    <row r="111" spans="1:3">
      <c r="A111" s="21" t="str">
        <f ca="1">"CFLAG,1733,"&amp;C111&amp;" ;改二装备3"</f>
        <v>CFLAG,1733,41 ;改二装备3</v>
      </c>
      <c r="B111" s="20">
        <v>38</v>
      </c>
      <c r="C111" s="20">
        <f ca="1">IF($B$3&gt;=2, OFFSET(Chara!$A$1,$B$2+1,B111-1), 0)</f>
        <v>41</v>
      </c>
    </row>
    <row r="112" spans="1:3">
      <c r="A112" s="21" t="str">
        <f ca="1">"CFLAG,1734,"&amp;C112&amp;" ;改二装备4"</f>
        <v>CFLAG,1734,-1 ;改二装备4</v>
      </c>
      <c r="B112" s="20">
        <v>39</v>
      </c>
      <c r="C112" s="20">
        <f ca="1">IF($B$3&gt;=2, OFFSET(Chara!$A$1,$B$2+1,B112-1), 0)</f>
        <v>-1</v>
      </c>
    </row>
    <row r="113" spans="1:4">
      <c r="A113" s="20"/>
      <c r="B113" s="20"/>
    </row>
    <row r="114" spans="1:4" ht="14.25">
      <c r="A114" s="23" t="s">
        <v>1371</v>
      </c>
      <c r="B114" s="23"/>
    </row>
    <row r="115" spans="1:4">
      <c r="A115" s="21" t="str">
        <f ca="1">"CFLAG,1735,"&amp;C115&amp;" ;改二舰载机数量1"</f>
        <v>CFLAG,1735,12 ;改二舰载机数量1</v>
      </c>
      <c r="B115" s="20">
        <v>40</v>
      </c>
      <c r="C115" s="20">
        <f ca="1">IF($B$3&gt;=2, OFFSET(Chara!$A$1,$B$2+1,B115-1), 0)</f>
        <v>12</v>
      </c>
    </row>
    <row r="116" spans="1:4">
      <c r="A116" s="21" t="str">
        <f ca="1">"CFLAG,1736,"&amp;C116&amp;" ;改二舰载机数量2"</f>
        <v>CFLAG,1736,6 ;改二舰载机数量2</v>
      </c>
      <c r="B116" s="20">
        <v>41</v>
      </c>
      <c r="C116" s="20">
        <f ca="1">IF($B$3&gt;=2, OFFSET(Chara!$A$1,$B$2+1,B116-1), 0)</f>
        <v>6</v>
      </c>
    </row>
    <row r="117" spans="1:4">
      <c r="A117" s="21" t="str">
        <f ca="1">"CFLAG,1737,"&amp;C117&amp;" ;改二舰载机数量3"</f>
        <v>CFLAG,1737,6 ;改二舰载机数量3</v>
      </c>
      <c r="B117" s="20">
        <v>42</v>
      </c>
      <c r="C117" s="20">
        <f ca="1">IF($B$3&gt;=2, OFFSET(Chara!$A$1,$B$2+1,B117-1), 0)</f>
        <v>6</v>
      </c>
    </row>
    <row r="118" spans="1:4">
      <c r="A118" s="21" t="str">
        <f ca="1">"CFLAG,1738,"&amp;C118&amp;" ;改二舰载机数量4"</f>
        <v>CFLAG,1738,0 ;改二舰载机数量4</v>
      </c>
      <c r="B118" s="20">
        <v>43</v>
      </c>
      <c r="C118" s="20">
        <f ca="1">IF($B$3&gt;=2, OFFSET(Chara!$A$1,$B$2+1,B118-1), 0)</f>
        <v>0</v>
      </c>
    </row>
    <row r="119" spans="1:4">
      <c r="A119" s="21" t="str">
        <f ca="1">"CFLAG,1739,"&amp;C119&amp;" ;改二最大耐久"</f>
        <v>CFLAG,1739,42 ;改二最大耐久</v>
      </c>
      <c r="B119" s="21">
        <v>14</v>
      </c>
      <c r="C119" s="20">
        <f ca="1">IF($B$3&gt;=2, OFFSET(Chara!$A$1,$B$2+1,B119-1), 0)</f>
        <v>42</v>
      </c>
    </row>
    <row r="120" spans="1:4">
      <c r="A120" s="21" t="str">
        <f ca="1">"CFLAG,1740,"&amp;D120&amp;" ;改二燃料弹药 XXX-XXX"</f>
        <v>CFLAG,1740,35045 ;改二燃料弹药 XXX-XXX</v>
      </c>
      <c r="B120" s="21">
        <v>26</v>
      </c>
      <c r="C120" s="20">
        <f ca="1">IF($B$3&gt;=2, OFFSET(Chara!$A$1,$B$2+1,B120-1), 0)</f>
        <v>35</v>
      </c>
      <c r="D120" s="20">
        <f ca="1">C120*1000+C121</f>
        <v>35045</v>
      </c>
    </row>
    <row r="121" spans="1:4">
      <c r="B121" s="20">
        <v>27</v>
      </c>
      <c r="C121" s="20">
        <f ca="1">IF($B$3&gt;=2, OFFSET(Chara!$A$1,$B$2+1,B121-1), 0)</f>
        <v>45</v>
      </c>
    </row>
    <row r="122" spans="1:4">
      <c r="A122" s="24" t="s">
        <v>1378</v>
      </c>
      <c r="B122" s="24"/>
    </row>
    <row r="123" spans="1:4" ht="14.25">
      <c r="A123" s="23" t="s">
        <v>1381</v>
      </c>
      <c r="B123" s="23"/>
    </row>
    <row r="124" spans="1:4">
      <c r="A124" s="21" t="str">
        <f ca="1">"CFLAG,1670,"&amp;C124&amp;" ;改三后火力"</f>
        <v>CFLAG,1670,0 ;改三后火力</v>
      </c>
      <c r="B124" s="20">
        <v>15</v>
      </c>
      <c r="C124" s="20">
        <f ca="1">IF($B$3&gt;=3, OFFSET(Chara!$A$1,$B$2+2,B124-1), 0)</f>
        <v>0</v>
      </c>
    </row>
    <row r="125" spans="1:4">
      <c r="A125" s="21" t="str">
        <f ca="1">"CFLAG,1671,"&amp;C125&amp;" ;改三后装甲"</f>
        <v>CFLAG,1671,25 ;改三后装甲</v>
      </c>
      <c r="B125" s="20">
        <v>16</v>
      </c>
      <c r="C125" s="20">
        <f ca="1">IF($B$3&gt;=3, OFFSET(Chara!$A$1,$B$2+2,B125-1), 0)</f>
        <v>25</v>
      </c>
    </row>
    <row r="126" spans="1:4">
      <c r="A126" s="21" t="str">
        <f ca="1">"CFLAG,1672,"&amp;C126&amp;" ;改三后雷装"</f>
        <v>CFLAG,1672,0 ;改三后雷装</v>
      </c>
      <c r="B126" s="20">
        <v>17</v>
      </c>
      <c r="C126" s="20">
        <f ca="1">IF($B$3&gt;=3, OFFSET(Chara!$A$1,$B$2+2,B126-1), 0)</f>
        <v>0</v>
      </c>
    </row>
    <row r="127" spans="1:4">
      <c r="A127" s="21" t="str">
        <f ca="1">"CFLAG,1673,"&amp;C127&amp;" ;改三后回避"</f>
        <v>CFLAG,1673,37 ;改三后回避</v>
      </c>
      <c r="B127" s="20">
        <v>18</v>
      </c>
      <c r="C127" s="20">
        <f ca="1">IF($B$3&gt;=3, OFFSET(Chara!$A$1,$B$2+2,B127-1), 0)</f>
        <v>37</v>
      </c>
    </row>
    <row r="128" spans="1:4">
      <c r="A128" s="21" t="str">
        <f ca="1">"CFLAG,1674,"&amp;C128&amp;" ;改三后对空"</f>
        <v>CFLAG,1674,20 ;改三后对空</v>
      </c>
      <c r="B128" s="20">
        <v>19</v>
      </c>
      <c r="C128" s="20">
        <f ca="1">IF($B$3&gt;=3, OFFSET(Chara!$A$1,$B$2+2,B128-1), 0)</f>
        <v>20</v>
      </c>
    </row>
    <row r="129" spans="1:3">
      <c r="A129" s="21" t="str">
        <f ca="1">"CFLAG,1675,"&amp;C129&amp;" ;改三后对潜"</f>
        <v>CFLAG,1675,0 ;改三后对潜</v>
      </c>
      <c r="B129" s="20">
        <v>20</v>
      </c>
      <c r="C129" s="20">
        <f ca="1">IF($B$3&gt;=3, OFFSET(Chara!$A$1,$B$2+2,B129-1), 0)</f>
        <v>0</v>
      </c>
    </row>
    <row r="130" spans="1:3">
      <c r="A130" s="21" t="str">
        <f ca="1">"CFLAG,1676,"&amp;C130&amp;" ;改三后索敌"</f>
        <v>CFLAG,1676,36 ;改三后索敌</v>
      </c>
      <c r="B130" s="20">
        <v>22</v>
      </c>
      <c r="C130" s="20">
        <f ca="1">IF($B$3&gt;=3, OFFSET(Chara!$A$1,$B$2+2,B130-1), 0)</f>
        <v>36</v>
      </c>
    </row>
    <row r="131" spans="1:3">
      <c r="A131" s="21" t="str">
        <f ca="1">"CFLAG,1677,"&amp;C131&amp;" ;改三后运"</f>
        <v>CFLAG,1677,10 ;改三后运</v>
      </c>
      <c r="B131" s="20">
        <v>24</v>
      </c>
      <c r="C131" s="20">
        <f ca="1">IF($B$3&gt;=3, OFFSET(Chara!$A$1,$B$2+2,B131-1), 0)</f>
        <v>10</v>
      </c>
    </row>
    <row r="132" spans="1:3" ht="14.25">
      <c r="A132" s="23" t="s">
        <v>1314</v>
      </c>
      <c r="B132" s="20"/>
    </row>
    <row r="133" spans="1:3">
      <c r="A133" s="21" t="str">
        <f ca="1">"CFLAG,1742,"&amp;C133&amp;" ;改三最大火力"</f>
        <v>CFLAG,1742,19 ;改三最大火力</v>
      </c>
      <c r="B133" s="20">
        <v>28</v>
      </c>
      <c r="C133" s="20">
        <f ca="1">IF($B$3&gt;=3, OFFSET(Chara!$A$1,$B$2+2,B133-1), 0)</f>
        <v>19</v>
      </c>
    </row>
    <row r="134" spans="1:3">
      <c r="A134" s="21" t="str">
        <f ca="1">"CFLAG,1743,"&amp;C134&amp;" ;改三最大雷装"</f>
        <v>CFLAG,1743,0 ;改三最大雷装</v>
      </c>
      <c r="B134" s="20">
        <v>29</v>
      </c>
      <c r="C134" s="20">
        <f ca="1">IF($B$3&gt;=3, OFFSET(Chara!$A$1,$B$2+2,B134-1), 0)</f>
        <v>0</v>
      </c>
    </row>
    <row r="135" spans="1:3">
      <c r="A135" s="21" t="str">
        <f ca="1">"CFLAG,1744,"&amp;C135&amp;" ;改三最大对空"</f>
        <v>CFLAG,1744,49 ;改三最大对空</v>
      </c>
      <c r="B135" s="20">
        <v>30</v>
      </c>
      <c r="C135" s="20">
        <f ca="1">IF($B$3&gt;=3, OFFSET(Chara!$A$1,$B$2+2,B135-1), 0)</f>
        <v>49</v>
      </c>
    </row>
    <row r="136" spans="1:3">
      <c r="A136" s="21" t="str">
        <f ca="1">"CFLAG,1745,"&amp;C136&amp;" ;改三最大装甲"</f>
        <v>CFLAG,1745,39 ;改三最大装甲</v>
      </c>
      <c r="B136" s="20">
        <v>31</v>
      </c>
      <c r="C136" s="20">
        <f ca="1">IF($B$3&gt;=3, OFFSET(Chara!$A$1,$B$2+2,B136-1), 0)</f>
        <v>39</v>
      </c>
    </row>
    <row r="137" spans="1:3">
      <c r="A137" s="21" t="str">
        <f ca="1">"CFLAG,1746,"&amp;C137&amp;" ;改三最大运"</f>
        <v>CFLAG,1746,59 ;改三最大运</v>
      </c>
      <c r="B137" s="20">
        <v>32</v>
      </c>
      <c r="C137" s="20">
        <f ca="1">IF($B$3&gt;=3, OFFSET(Chara!$A$1,$B$2+2,B137-1), 0)</f>
        <v>59</v>
      </c>
    </row>
    <row r="138" spans="1:3">
      <c r="A138" s="21" t="str">
        <f ca="1">"CFLAG,1747,"&amp;C138&amp;" ;改三最大回避"</f>
        <v>CFLAG,1747,67 ;改三最大回避</v>
      </c>
      <c r="B138" s="20">
        <v>33</v>
      </c>
      <c r="C138" s="20">
        <f ca="1">IF($B$3&gt;=3, OFFSET(Chara!$A$1,$B$2+2,B138-1), 0)</f>
        <v>67</v>
      </c>
    </row>
    <row r="139" spans="1:3">
      <c r="A139" s="21" t="str">
        <f ca="1">"CFLAG,1748,"&amp;C139&amp;" ;改三最大对潜"</f>
        <v>CFLAG,1748,0 ;改三最大对潜</v>
      </c>
      <c r="B139" s="20">
        <v>34</v>
      </c>
      <c r="C139" s="20">
        <f ca="1">IF($B$3&gt;=3, OFFSET(Chara!$A$1,$B$2+2,B139-1), 0)</f>
        <v>0</v>
      </c>
    </row>
    <row r="140" spans="1:3">
      <c r="A140" s="21" t="str">
        <f ca="1">"CFLAG,1749,"&amp;C140&amp;" ;改三最大索敌"</f>
        <v>CFLAG,1749,69 ;改三最大索敌</v>
      </c>
      <c r="B140" s="20">
        <v>35</v>
      </c>
      <c r="C140" s="20">
        <f ca="1">IF($B$3&gt;=3, OFFSET(Chara!$A$1,$B$2+2,B140-1), 0)</f>
        <v>69</v>
      </c>
    </row>
    <row r="141" spans="1:3">
      <c r="A141" s="20"/>
      <c r="B141" s="20"/>
    </row>
    <row r="142" spans="1:3" ht="14.25">
      <c r="A142" s="23" t="s">
        <v>1377</v>
      </c>
      <c r="B142" s="23"/>
    </row>
    <row r="143" spans="1:3">
      <c r="A143" s="21" t="str">
        <f ca="1">"CFLAG,1751,"&amp;C143&amp;" ;改三装备1"</f>
        <v>CFLAG,1751,20 ;改三装备1</v>
      </c>
      <c r="B143" s="20">
        <v>36</v>
      </c>
      <c r="C143" s="20">
        <f ca="1">IF($B$3&gt;=3, OFFSET(Chara!$A$1,$B$2+2,B143-1), 0)</f>
        <v>20</v>
      </c>
    </row>
    <row r="144" spans="1:3">
      <c r="A144" s="21" t="str">
        <f ca="1">"CFLAG,1752,"&amp;C144&amp;" ;改三装备2"</f>
        <v>CFLAG,1752,16 ;改三装备2</v>
      </c>
      <c r="B144" s="20">
        <v>37</v>
      </c>
      <c r="C144" s="20">
        <f ca="1">IF($B$3&gt;=3, OFFSET(Chara!$A$1,$B$2+2,B144-1), 0)</f>
        <v>16</v>
      </c>
    </row>
    <row r="145" spans="1:4">
      <c r="A145" s="21" t="str">
        <f ca="1">"CFLAG,1753,"&amp;C145&amp;" ;改三装备3"</f>
        <v>CFLAG,1753,0 ;改三装备3</v>
      </c>
      <c r="B145" s="20">
        <v>38</v>
      </c>
      <c r="C145" s="20">
        <f ca="1">IF($B$3&gt;=3, OFFSET(Chara!$A$1,$B$2+2,B145-1), 0)</f>
        <v>0</v>
      </c>
    </row>
    <row r="146" spans="1:4">
      <c r="A146" s="21" t="str">
        <f ca="1">"CFLAG,1754,"&amp;C146&amp;" ;改三装备4"</f>
        <v>CFLAG,1754,-1 ;改三装备4</v>
      </c>
      <c r="B146" s="20">
        <v>39</v>
      </c>
      <c r="C146" s="20">
        <f ca="1">IF($B$3&gt;=3, OFFSET(Chara!$A$1,$B$2+2,B146-1), 0)</f>
        <v>-1</v>
      </c>
    </row>
    <row r="147" spans="1:4">
      <c r="A147" s="20"/>
      <c r="B147" s="20"/>
    </row>
    <row r="148" spans="1:4" ht="14.25">
      <c r="A148" s="23" t="s">
        <v>1371</v>
      </c>
      <c r="B148" s="23"/>
    </row>
    <row r="149" spans="1:4">
      <c r="A149" s="21" t="str">
        <f ca="1">"CFLAG,1755,"&amp;C149&amp;" ;改三舰载机数量1"</f>
        <v>CFLAG,1755,21 ;改三舰载机数量1</v>
      </c>
      <c r="B149" s="20">
        <v>40</v>
      </c>
      <c r="C149" s="20">
        <f ca="1">IF($B$3&gt;=3, OFFSET(Chara!$A$1,$B$2+2,B149-1), 0)</f>
        <v>21</v>
      </c>
    </row>
    <row r="150" spans="1:4">
      <c r="A150" s="21" t="str">
        <f ca="1">"CFLAG,1756,"&amp;C150&amp;" ;改三舰载机数量2"</f>
        <v>CFLAG,1756,9 ;改三舰载机数量2</v>
      </c>
      <c r="B150" s="20">
        <v>41</v>
      </c>
      <c r="C150" s="20">
        <f ca="1">IF($B$3&gt;=3, OFFSET(Chara!$A$1,$B$2+2,B150-1), 0)</f>
        <v>9</v>
      </c>
    </row>
    <row r="151" spans="1:4">
      <c r="A151" s="21" t="str">
        <f ca="1">"CFLAG,1757,"&amp;C151&amp;" ;改三舰载机数量3"</f>
        <v>CFLAG,1757,6 ;改三舰载机数量3</v>
      </c>
      <c r="B151" s="20">
        <v>42</v>
      </c>
      <c r="C151" s="20">
        <f ca="1">IF($B$3&gt;=3, OFFSET(Chara!$A$1,$B$2+2,B151-1), 0)</f>
        <v>6</v>
      </c>
    </row>
    <row r="152" spans="1:4">
      <c r="A152" s="21" t="str">
        <f ca="1">"CFLAG,1758,"&amp;C152&amp;" ;改三舰载机数量4"</f>
        <v>CFLAG,1758,0 ;改三舰载机数量4</v>
      </c>
      <c r="B152" s="20">
        <v>43</v>
      </c>
      <c r="C152" s="20">
        <f ca="1">IF($B$3&gt;=3, OFFSET(Chara!$A$1,$B$2+2,B152-1), 0)</f>
        <v>0</v>
      </c>
    </row>
    <row r="153" spans="1:4">
      <c r="A153" s="21" t="str">
        <f ca="1">"CFLAG,1759,"&amp;C153&amp;" ;改三最大耐久"</f>
        <v>CFLAG,1759,47 ;改三最大耐久</v>
      </c>
      <c r="B153" s="21">
        <v>14</v>
      </c>
      <c r="C153" s="20">
        <f ca="1">IF($B$3&gt;=3, OFFSET(Chara!$A$1,$B$2+2,B153-1), 0)</f>
        <v>47</v>
      </c>
    </row>
    <row r="154" spans="1:4">
      <c r="A154" s="21" t="str">
        <f ca="1">"CFLAG,1760,"&amp;D154&amp;" ;改三燃料弹药 XXX-XXX"</f>
        <v>CFLAG,1760,40040 ;改三燃料弹药 XXX-XXX</v>
      </c>
      <c r="B154" s="21">
        <v>26</v>
      </c>
      <c r="C154" s="20">
        <f ca="1">IF($B$3&gt;=3, OFFSET(Chara!$A$1,$B$2+2,B154-1), 0)</f>
        <v>40</v>
      </c>
      <c r="D154" s="20">
        <f ca="1">C154*1000+C155</f>
        <v>40040</v>
      </c>
    </row>
    <row r="155" spans="1:4">
      <c r="B155" s="20">
        <v>27</v>
      </c>
      <c r="C155" s="20">
        <f ca="1">IF($B$3&gt;=3, OFFSET(Chara!$A$1,$B$2+2,B155-1), 0)</f>
        <v>40</v>
      </c>
    </row>
    <row r="156" spans="1:4">
      <c r="A156" s="24" t="s">
        <v>1379</v>
      </c>
      <c r="B156" s="24"/>
    </row>
    <row r="157" spans="1:4" ht="14.25">
      <c r="A157" s="23" t="s">
        <v>1382</v>
      </c>
      <c r="B157" s="23"/>
    </row>
    <row r="158" spans="1:4">
      <c r="A158" s="21" t="str">
        <f ca="1">"CFLAG,1660,"&amp;C158&amp;" ;改四后火力"</f>
        <v>CFLAG,1660,0 ;改四后火力</v>
      </c>
      <c r="B158" s="20">
        <v>15</v>
      </c>
      <c r="C158" s="20">
        <f ca="1">IF($B$3&gt;=4, OFFSET(Chara!$A$1,$B$2+3,B158-1), 0)</f>
        <v>0</v>
      </c>
    </row>
    <row r="159" spans="1:4">
      <c r="A159" s="21" t="str">
        <f ca="1">"CFLAG,1661,"&amp;C159&amp;" ;改四后装甲"</f>
        <v>CFLAG,1661,32 ;改四后装甲</v>
      </c>
      <c r="B159" s="20">
        <v>16</v>
      </c>
      <c r="C159" s="20">
        <f ca="1">IF($B$3&gt;=4, OFFSET(Chara!$A$1,$B$2+3,B159-1), 0)</f>
        <v>32</v>
      </c>
    </row>
    <row r="160" spans="1:4">
      <c r="A160" s="21" t="str">
        <f ca="1">"CFLAG,1662,"&amp;C160&amp;" ;改四后雷装"</f>
        <v>CFLAG,1662,0 ;改四后雷装</v>
      </c>
      <c r="B160" s="20">
        <v>17</v>
      </c>
      <c r="C160" s="20">
        <f ca="1">IF($B$3&gt;=4, OFFSET(Chara!$A$1,$B$2+3,B160-1), 0)</f>
        <v>0</v>
      </c>
    </row>
    <row r="161" spans="1:3">
      <c r="A161" s="21" t="str">
        <f ca="1">"CFLAG,1663,"&amp;C161&amp;" ;改四后回避"</f>
        <v>CFLAG,1663,37 ;改四后回避</v>
      </c>
      <c r="B161" s="20">
        <v>18</v>
      </c>
      <c r="C161" s="20">
        <f ca="1">IF($B$3&gt;=4, OFFSET(Chara!$A$1,$B$2+3,B161-1), 0)</f>
        <v>37</v>
      </c>
    </row>
    <row r="162" spans="1:3">
      <c r="A162" s="21" t="str">
        <f ca="1">"CFLAG,1664,"&amp;C162&amp;" ;改四后对空"</f>
        <v>CFLAG,1664,27 ;改四后对空</v>
      </c>
      <c r="B162" s="20">
        <v>19</v>
      </c>
      <c r="C162" s="20">
        <f ca="1">IF($B$3&gt;=4, OFFSET(Chara!$A$1,$B$2+3,B162-1), 0)</f>
        <v>27</v>
      </c>
    </row>
    <row r="163" spans="1:3">
      <c r="A163" s="21" t="str">
        <f ca="1">"CFLAG,1665,"&amp;C163&amp;" ;改四后对潜"</f>
        <v>CFLAG,1665,0 ;改四后对潜</v>
      </c>
      <c r="B163" s="20">
        <v>20</v>
      </c>
      <c r="C163" s="20">
        <f ca="1">IF($B$3&gt;=4, OFFSET(Chara!$A$1,$B$2+3,B163-1), 0)</f>
        <v>0</v>
      </c>
    </row>
    <row r="164" spans="1:3">
      <c r="A164" s="21" t="str">
        <f ca="1">"CFLAG,1666,"&amp;C164&amp;" ;改四后索敌"</f>
        <v>CFLAG,1666,42 ;改四后索敌</v>
      </c>
      <c r="B164" s="20">
        <v>22</v>
      </c>
      <c r="C164" s="20">
        <f ca="1">IF($B$3&gt;=4, OFFSET(Chara!$A$1,$B$2+3,B164-1), 0)</f>
        <v>42</v>
      </c>
    </row>
    <row r="165" spans="1:3">
      <c r="A165" s="21" t="str">
        <f ca="1">"CFLAG,1667,"&amp;C165&amp;" ;改四后运"</f>
        <v>CFLAG,1667,12 ;改四后运</v>
      </c>
      <c r="B165" s="20">
        <v>24</v>
      </c>
      <c r="C165" s="20">
        <f ca="1">IF($B$3&gt;=4, OFFSET(Chara!$A$1,$B$2+3,B165-1), 0)</f>
        <v>12</v>
      </c>
    </row>
    <row r="166" spans="1:3" ht="14.25">
      <c r="A166" s="23" t="s">
        <v>1314</v>
      </c>
      <c r="B166" s="20"/>
    </row>
    <row r="167" spans="1:3">
      <c r="A167" s="21" t="str">
        <f ca="1">"CFLAG,1762,"&amp;C167&amp;" ;改四最大火力"</f>
        <v>CFLAG,1762,34 ;改四最大火力</v>
      </c>
      <c r="B167" s="20">
        <v>28</v>
      </c>
      <c r="C167" s="20">
        <f ca="1">IF($B$3&gt;=4, OFFSET(Chara!$A$1,$B$2+3,B167-1), 0)</f>
        <v>34</v>
      </c>
    </row>
    <row r="168" spans="1:3">
      <c r="A168" s="21" t="str">
        <f ca="1">"CFLAG,1763,"&amp;C168&amp;" ;改四最大雷装"</f>
        <v>CFLAG,1763,0 ;改四最大雷装</v>
      </c>
      <c r="B168" s="20">
        <v>29</v>
      </c>
      <c r="C168" s="20">
        <f ca="1">IF($B$3&gt;=4, OFFSET(Chara!$A$1,$B$2+3,B168-1), 0)</f>
        <v>0</v>
      </c>
    </row>
    <row r="169" spans="1:3">
      <c r="A169" s="21" t="str">
        <f ca="1">"CFLAG,1764,"&amp;C169&amp;" ;改四最大对空"</f>
        <v>CFLAG,1764,69 ;改四最大对空</v>
      </c>
      <c r="B169" s="20">
        <v>30</v>
      </c>
      <c r="C169" s="20">
        <f ca="1">IF($B$3&gt;=4, OFFSET(Chara!$A$1,$B$2+3,B169-1), 0)</f>
        <v>69</v>
      </c>
    </row>
    <row r="170" spans="1:3">
      <c r="A170" s="21" t="str">
        <f ca="1">"CFLAG,1765,"&amp;C170&amp;" ;改四最大装甲"</f>
        <v>CFLAG,1765,64 ;改四最大装甲</v>
      </c>
      <c r="B170" s="20">
        <v>31</v>
      </c>
      <c r="C170" s="20">
        <f ca="1">IF($B$3&gt;=4, OFFSET(Chara!$A$1,$B$2+3,B170-1), 0)</f>
        <v>64</v>
      </c>
    </row>
    <row r="171" spans="1:3">
      <c r="A171" s="21" t="str">
        <f ca="1">"CFLAG,1766,"&amp;C171&amp;" ;改四最大运"</f>
        <v>CFLAG,1766,59 ;改四最大运</v>
      </c>
      <c r="B171" s="20">
        <v>32</v>
      </c>
      <c r="C171" s="20">
        <f ca="1">IF($B$3&gt;=4, OFFSET(Chara!$A$1,$B$2+3,B171-1), 0)</f>
        <v>59</v>
      </c>
    </row>
    <row r="172" spans="1:3">
      <c r="A172" s="21" t="str">
        <f ca="1">"CFLAG,1767,"&amp;C172&amp;" ;改四最大回避"</f>
        <v>CFLAG,1767,69 ;改四最大回避</v>
      </c>
      <c r="B172" s="20">
        <v>33</v>
      </c>
      <c r="C172" s="20">
        <f ca="1">IF($B$3&gt;=4, OFFSET(Chara!$A$1,$B$2+3,B172-1), 0)</f>
        <v>69</v>
      </c>
    </row>
    <row r="173" spans="1:3">
      <c r="A173" s="21" t="str">
        <f ca="1">"CFLAG,1768,"&amp;C173&amp;" ;改四最大对潜"</f>
        <v>CFLAG,1768,0 ;改四最大对潜</v>
      </c>
      <c r="B173" s="20">
        <v>34</v>
      </c>
      <c r="C173" s="20">
        <f ca="1">IF($B$3&gt;=4, OFFSET(Chara!$A$1,$B$2+3,B173-1), 0)</f>
        <v>0</v>
      </c>
    </row>
    <row r="174" spans="1:3">
      <c r="A174" s="21" t="str">
        <f ca="1">"CFLAG,1769,"&amp;C174&amp;" ;改四最大索敌"</f>
        <v>CFLAG,1769,79 ;改四最大索敌</v>
      </c>
      <c r="B174" s="20">
        <v>35</v>
      </c>
      <c r="C174" s="20">
        <f ca="1">IF($B$3&gt;=4, OFFSET(Chara!$A$1,$B$2+3,B174-1), 0)</f>
        <v>79</v>
      </c>
    </row>
    <row r="175" spans="1:3">
      <c r="A175" s="20"/>
      <c r="B175" s="20"/>
    </row>
    <row r="176" spans="1:3" ht="14.25">
      <c r="A176" s="23" t="s">
        <v>1377</v>
      </c>
      <c r="B176" s="23"/>
    </row>
    <row r="177" spans="1:4">
      <c r="A177" s="21" t="str">
        <f ca="1">"CFLAG,1771,"&amp;C177&amp;" ;改四装备1"</f>
        <v>CFLAG,1771,21 ;改四装备1</v>
      </c>
      <c r="B177" s="20">
        <v>36</v>
      </c>
      <c r="C177" s="20">
        <f ca="1">IF($B$3&gt;=4, OFFSET(Chara!$A$1,$B$2+3,B177-1), 0)</f>
        <v>21</v>
      </c>
    </row>
    <row r="178" spans="1:4">
      <c r="A178" s="21" t="str">
        <f ca="1">"CFLAG,1772,"&amp;C178&amp;" ;改四装备2"</f>
        <v>CFLAG,1772,16 ;改四装备2</v>
      </c>
      <c r="B178" s="20">
        <v>37</v>
      </c>
      <c r="C178" s="20">
        <f ca="1">IF($B$3&gt;=4, OFFSET(Chara!$A$1,$B$2+3,B178-1), 0)</f>
        <v>16</v>
      </c>
    </row>
    <row r="179" spans="1:4">
      <c r="A179" s="21" t="str">
        <f ca="1">"CFLAG,1773,"&amp;C179&amp;" ;改四装备3"</f>
        <v>CFLAG,1773,51 ;改四装备3</v>
      </c>
      <c r="B179" s="20">
        <v>38</v>
      </c>
      <c r="C179" s="20">
        <f ca="1">IF($B$3&gt;=4, OFFSET(Chara!$A$1,$B$2+3,B179-1), 0)</f>
        <v>51</v>
      </c>
    </row>
    <row r="180" spans="1:4">
      <c r="A180" s="21" t="str">
        <f ca="1">"CFLAG,1774,"&amp;C180&amp;" ;改四装备4"</f>
        <v>CFLAG,1774,0 ;改四装备4</v>
      </c>
      <c r="B180" s="20">
        <v>39</v>
      </c>
      <c r="C180" s="20">
        <f ca="1">IF($B$3&gt;=4, OFFSET(Chara!$A$1,$B$2+3,B180-1), 0)</f>
        <v>0</v>
      </c>
    </row>
    <row r="181" spans="1:4">
      <c r="A181" s="20"/>
      <c r="B181" s="20"/>
    </row>
    <row r="182" spans="1:4" ht="14.25">
      <c r="A182" s="23" t="s">
        <v>1371</v>
      </c>
      <c r="B182" s="23"/>
    </row>
    <row r="183" spans="1:4">
      <c r="A183" s="21" t="str">
        <f ca="1">"CFLAG,1775,"&amp;C183&amp;" ;改四舰载机数量1"</f>
        <v>CFLAG,1775,24 ;改四舰载机数量1</v>
      </c>
      <c r="B183" s="20">
        <v>40</v>
      </c>
      <c r="C183" s="20">
        <f ca="1">IF($B$3&gt;=4, OFFSET(Chara!$A$1,$B$2+3,B183-1), 0)</f>
        <v>24</v>
      </c>
    </row>
    <row r="184" spans="1:4">
      <c r="A184" s="21" t="str">
        <f ca="1">"CFLAG,1776,"&amp;C184&amp;" ;改四舰载机数量2"</f>
        <v>CFLAG,1776,16 ;改四舰载机数量2</v>
      </c>
      <c r="B184" s="20">
        <v>41</v>
      </c>
      <c r="C184" s="20">
        <f ca="1">IF($B$3&gt;=4, OFFSET(Chara!$A$1,$B$2+3,B184-1), 0)</f>
        <v>16</v>
      </c>
    </row>
    <row r="185" spans="1:4">
      <c r="A185" s="21" t="str">
        <f ca="1">"CFLAG,1777,"&amp;C185&amp;" ;改四舰载机数量3"</f>
        <v>CFLAG,1777,8 ;改四舰载机数量3</v>
      </c>
      <c r="B185" s="20">
        <v>42</v>
      </c>
      <c r="C185" s="20">
        <f ca="1">IF($B$3&gt;=4, OFFSET(Chara!$A$1,$B$2+3,B185-1), 0)</f>
        <v>8</v>
      </c>
    </row>
    <row r="186" spans="1:4">
      <c r="A186" s="21" t="str">
        <f ca="1">"CFLAG,1778,"&amp;C186&amp;" ;改四舰载机数量4"</f>
        <v>CFLAG,1778,8 ;改四舰载机数量4</v>
      </c>
      <c r="B186" s="20">
        <v>43</v>
      </c>
      <c r="C186" s="20">
        <f ca="1">IF($B$3&gt;=4, OFFSET(Chara!$A$1,$B$2+3,B186-1), 0)</f>
        <v>8</v>
      </c>
    </row>
    <row r="187" spans="1:4">
      <c r="A187" s="21" t="str">
        <f ca="1">"CFLAG,1779,"&amp;C187&amp;" ;改四最大耐久"</f>
        <v>CFLAG,1779,57 ;改四最大耐久</v>
      </c>
      <c r="B187" s="21">
        <v>14</v>
      </c>
      <c r="C187" s="20">
        <f ca="1">IF($B$3&gt;=4, OFFSET(Chara!$A$1,$B$2+3,B187-1), 0)</f>
        <v>57</v>
      </c>
    </row>
    <row r="188" spans="1:4">
      <c r="A188" s="21" t="str">
        <f ca="1">"CFLAG,1760,"&amp;D188&amp;" ;改四燃料弹药 XXX-XXX"</f>
        <v>CFLAG,1760,45040 ;改四燃料弹药 XXX-XXX</v>
      </c>
      <c r="B188" s="21">
        <v>26</v>
      </c>
      <c r="C188" s="20">
        <f ca="1">IF($B$3&gt;=4, OFFSET(Chara!$A$1,$B$2+3,B188-1), 0)</f>
        <v>45</v>
      </c>
      <c r="D188" s="20">
        <f ca="1">C188*1000+C189</f>
        <v>45040</v>
      </c>
    </row>
    <row r="189" spans="1:4">
      <c r="B189" s="20">
        <v>27</v>
      </c>
      <c r="C189" s="20">
        <f ca="1">IF($B$3&gt;=4, OFFSET(Chara!$A$1,$B$2+3,B189-1), 0)</f>
        <v>40</v>
      </c>
    </row>
    <row r="190" spans="1:4">
      <c r="A190" s="24" t="s">
        <v>1380</v>
      </c>
      <c r="B190" s="24"/>
    </row>
    <row r="191" spans="1:4" ht="14.25">
      <c r="A191" s="23" t="s">
        <v>1383</v>
      </c>
      <c r="B191" s="23"/>
    </row>
    <row r="192" spans="1:4">
      <c r="A192" s="21" t="str">
        <f ca="1">"CFLAG,1650,"&amp;C192&amp;" ;改五后火力"</f>
        <v>CFLAG,1650,0 ;改五后火力</v>
      </c>
      <c r="B192" s="20">
        <v>15</v>
      </c>
      <c r="C192" s="20">
        <f ca="1">IF($B$3&gt;=5, OFFSET(Chara!$A$1,$B$2+4,B192-1), 0)</f>
        <v>0</v>
      </c>
    </row>
    <row r="193" spans="1:3">
      <c r="A193" s="21" t="str">
        <f ca="1">"CFLAG,1651,"&amp;C193&amp;" ;改五后装甲"</f>
        <v>CFLAG,1651,32 ;改五后装甲</v>
      </c>
      <c r="B193" s="20">
        <v>16</v>
      </c>
      <c r="C193" s="20">
        <f ca="1">IF($B$3&gt;=5, OFFSET(Chara!$A$1,$B$2+4,B193-1), 0)</f>
        <v>32</v>
      </c>
    </row>
    <row r="194" spans="1:3">
      <c r="A194" s="21" t="str">
        <f ca="1">"CFLAG,1652,"&amp;C194&amp;" ;改五后雷装"</f>
        <v>CFLAG,1652,0 ;改五后雷装</v>
      </c>
      <c r="B194" s="20">
        <v>17</v>
      </c>
      <c r="C194" s="20">
        <f ca="1">IF($B$3&gt;=5, OFFSET(Chara!$A$1,$B$2+4,B194-1), 0)</f>
        <v>0</v>
      </c>
    </row>
    <row r="195" spans="1:3">
      <c r="A195" s="21" t="str">
        <f ca="1">"CFLAG,1653,"&amp;C195&amp;" ;改五后回避"</f>
        <v>CFLAG,1653,38 ;改五后回避</v>
      </c>
      <c r="B195" s="20">
        <v>18</v>
      </c>
      <c r="C195" s="20">
        <f ca="1">IF($B$3&gt;=5, OFFSET(Chara!$A$1,$B$2+4,B195-1), 0)</f>
        <v>38</v>
      </c>
    </row>
    <row r="196" spans="1:3">
      <c r="A196" s="21" t="str">
        <f ca="1">"CFLAG,1654,"&amp;C196&amp;" ;改五后对空"</f>
        <v>CFLAG,1654,30 ;改五后对空</v>
      </c>
      <c r="B196" s="20">
        <v>19</v>
      </c>
      <c r="C196" s="20">
        <f ca="1">IF($B$3&gt;=5, OFFSET(Chara!$A$1,$B$2+4,B196-1), 0)</f>
        <v>30</v>
      </c>
    </row>
    <row r="197" spans="1:3">
      <c r="A197" s="21" t="str">
        <f ca="1">"CFLAG,1655,"&amp;C197&amp;" ;改五后对潜"</f>
        <v>CFLAG,1655,0 ;改五后对潜</v>
      </c>
      <c r="B197" s="20">
        <v>20</v>
      </c>
      <c r="C197" s="20">
        <f ca="1">IF($B$3&gt;=5, OFFSET(Chara!$A$1,$B$2+4,B197-1), 0)</f>
        <v>0</v>
      </c>
    </row>
    <row r="198" spans="1:3">
      <c r="A198" s="21" t="str">
        <f ca="1">"CFLAG,1656,"&amp;C198&amp;" ;改五后索敌"</f>
        <v>CFLAG,1656,42 ;改五后索敌</v>
      </c>
      <c r="B198" s="20">
        <v>22</v>
      </c>
      <c r="C198" s="20">
        <f ca="1">IF($B$3&gt;=5, OFFSET(Chara!$A$1,$B$2+4,B198-1), 0)</f>
        <v>42</v>
      </c>
    </row>
    <row r="199" spans="1:3">
      <c r="A199" s="21" t="str">
        <f ca="1">"CFLAG,1657,"&amp;C199&amp;" ;改五后运"</f>
        <v>CFLAG,1657,13 ;改五后运</v>
      </c>
      <c r="B199" s="20">
        <v>24</v>
      </c>
      <c r="C199" s="20">
        <f ca="1">IF($B$3&gt;=5, OFFSET(Chara!$A$1,$B$2+4,B199-1), 0)</f>
        <v>13</v>
      </c>
    </row>
    <row r="200" spans="1:3" ht="14.25">
      <c r="A200" s="23" t="s">
        <v>1314</v>
      </c>
      <c r="B200" s="20"/>
    </row>
    <row r="201" spans="1:3">
      <c r="A201" s="21" t="str">
        <f ca="1">"CFLAG,1782,"&amp;C201&amp;" ;改五最大火力"</f>
        <v>CFLAG,1782,34 ;改五最大火力</v>
      </c>
      <c r="B201" s="20">
        <v>28</v>
      </c>
      <c r="C201" s="20">
        <f ca="1">IF($B$3&gt;=5, OFFSET(Chara!$A$1,$B$2+4,B201-1), 0)</f>
        <v>34</v>
      </c>
    </row>
    <row r="202" spans="1:3">
      <c r="A202" s="21" t="str">
        <f ca="1">"CFLAG,1783,"&amp;C202&amp;" ;改五最大雷装"</f>
        <v>CFLAG,1783,0 ;改五最大雷装</v>
      </c>
      <c r="B202" s="20">
        <v>29</v>
      </c>
      <c r="C202" s="20">
        <f ca="1">IF($B$3&gt;=5, OFFSET(Chara!$A$1,$B$2+4,B202-1), 0)</f>
        <v>0</v>
      </c>
    </row>
    <row r="203" spans="1:3">
      <c r="A203" s="21" t="str">
        <f ca="1">"CFLAG,1784,"&amp;C203&amp;" ;改五最大对空"</f>
        <v>CFLAG,1784,72 ;改五最大对空</v>
      </c>
      <c r="B203" s="20">
        <v>30</v>
      </c>
      <c r="C203" s="20">
        <f ca="1">IF($B$3&gt;=5, OFFSET(Chara!$A$1,$B$2+4,B203-1), 0)</f>
        <v>72</v>
      </c>
    </row>
    <row r="204" spans="1:3">
      <c r="A204" s="21" t="str">
        <f ca="1">"CFLAG,1785,"&amp;C204&amp;" ;改五最大装甲"</f>
        <v>CFLAG,1785,65 ;改五最大装甲</v>
      </c>
      <c r="B204" s="20">
        <v>31</v>
      </c>
      <c r="C204" s="20">
        <f ca="1">IF($B$3&gt;=5, OFFSET(Chara!$A$1,$B$2+4,B204-1), 0)</f>
        <v>65</v>
      </c>
    </row>
    <row r="205" spans="1:3">
      <c r="A205" s="21" t="str">
        <f ca="1">"CFLAG,1786,"&amp;C205&amp;" ;改五最大运"</f>
        <v>CFLAG,1786,59 ;改五最大运</v>
      </c>
      <c r="B205" s="20">
        <v>32</v>
      </c>
      <c r="C205" s="20">
        <f ca="1">IF($B$3&gt;=5, OFFSET(Chara!$A$1,$B$2+4,B205-1), 0)</f>
        <v>59</v>
      </c>
    </row>
    <row r="206" spans="1:3">
      <c r="A206" s="21" t="str">
        <f ca="1">"CFLAG,1787,"&amp;C206&amp;" ;改五最大回避"</f>
        <v>CFLAG,1787,69 ;改五最大回避</v>
      </c>
      <c r="B206" s="20">
        <v>33</v>
      </c>
      <c r="C206" s="20">
        <f ca="1">IF($B$3&gt;=5, OFFSET(Chara!$A$1,$B$2+4,B206-1), 0)</f>
        <v>69</v>
      </c>
    </row>
    <row r="207" spans="1:3">
      <c r="A207" s="21" t="str">
        <f ca="1">"CFLAG,1788,"&amp;C207&amp;" ;改五最大对潜"</f>
        <v>CFLAG,1788,0 ;改五最大对潜</v>
      </c>
      <c r="B207" s="20">
        <v>34</v>
      </c>
      <c r="C207" s="20">
        <f ca="1">IF($B$3&gt;=5, OFFSET(Chara!$A$1,$B$2+4,B207-1), 0)</f>
        <v>0</v>
      </c>
    </row>
    <row r="208" spans="1:3">
      <c r="A208" s="21" t="str">
        <f ca="1">"CFLAG,1789,"&amp;C208&amp;" ;改五最大索敌"</f>
        <v>CFLAG,1789,79 ;改五最大索敌</v>
      </c>
      <c r="B208" s="20">
        <v>35</v>
      </c>
      <c r="C208" s="20">
        <f ca="1">IF($B$3&gt;=5, OFFSET(Chara!$A$1,$B$2+4,B208-1), 0)</f>
        <v>79</v>
      </c>
    </row>
    <row r="209" spans="1:4">
      <c r="A209" s="20"/>
      <c r="B209" s="20"/>
    </row>
    <row r="210" spans="1:4" ht="14.25">
      <c r="A210" s="23" t="s">
        <v>1377</v>
      </c>
      <c r="B210" s="23"/>
    </row>
    <row r="211" spans="1:4">
      <c r="A211" s="21" t="str">
        <f ca="1">"CFLAG,1791,"&amp;C211&amp;" ;改五装备1"</f>
        <v>CFLAG,1791,21 ;改五装备1</v>
      </c>
      <c r="B211" s="20">
        <v>36</v>
      </c>
      <c r="C211" s="20">
        <f ca="1">IF($B$3&gt;=5, OFFSET(Chara!$A$1,$B$2+4,B211-1), 0)</f>
        <v>21</v>
      </c>
    </row>
    <row r="212" spans="1:4">
      <c r="A212" s="21" t="str">
        <f ca="1">"CFLAG,1792,"&amp;C212&amp;" ;改五装备2"</f>
        <v>CFLAG,1792,39 ;改五装备2</v>
      </c>
      <c r="B212" s="20">
        <v>37</v>
      </c>
      <c r="C212" s="20">
        <f ca="1">IF($B$3&gt;=5, OFFSET(Chara!$A$1,$B$2+4,B212-1), 0)</f>
        <v>39</v>
      </c>
    </row>
    <row r="213" spans="1:4">
      <c r="A213" s="21" t="str">
        <f ca="1">"CFLAG,1793,"&amp;C213&amp;" ;改五装备3"</f>
        <v>CFLAG,1793,51 ;改五装备3</v>
      </c>
      <c r="B213" s="20">
        <v>38</v>
      </c>
      <c r="C213" s="20">
        <f ca="1">IF($B$3&gt;=5, OFFSET(Chara!$A$1,$B$2+4,B213-1), 0)</f>
        <v>51</v>
      </c>
    </row>
    <row r="214" spans="1:4">
      <c r="A214" s="21" t="str">
        <f ca="1">"CFLAG,1794,"&amp;C214&amp;" ;改五装备4"</f>
        <v>CFLAG,1794,0 ;改五装备4</v>
      </c>
      <c r="B214" s="20">
        <v>39</v>
      </c>
      <c r="C214" s="20">
        <f ca="1">IF($B$3&gt;=5, OFFSET(Chara!$A$1,$B$2+4,B214-1), 0)</f>
        <v>0</v>
      </c>
    </row>
    <row r="215" spans="1:4">
      <c r="A215" s="20"/>
      <c r="B215" s="20"/>
    </row>
    <row r="216" spans="1:4" ht="14.25">
      <c r="A216" s="23" t="s">
        <v>1371</v>
      </c>
      <c r="B216" s="23"/>
    </row>
    <row r="217" spans="1:4">
      <c r="A217" s="21" t="str">
        <f ca="1">"CFLAG,1795,"&amp;C217&amp;" ;改五舰载机数量1"</f>
        <v>CFLAG,1795,24 ;改五舰载机数量1</v>
      </c>
      <c r="B217" s="20">
        <v>40</v>
      </c>
      <c r="C217" s="20">
        <f ca="1">IF($B$3&gt;=5, OFFSET(Chara!$A$1,$B$2+4,B217-1), 0)</f>
        <v>24</v>
      </c>
    </row>
    <row r="218" spans="1:4">
      <c r="A218" s="21" t="str">
        <f ca="1">"CFLAG,1796,"&amp;C218&amp;" ;改五舰载机数量2"</f>
        <v>CFLAG,1796,16 ;改五舰载机数量2</v>
      </c>
      <c r="B218" s="20">
        <v>41</v>
      </c>
      <c r="C218" s="20">
        <f ca="1">IF($B$3&gt;=5, OFFSET(Chara!$A$1,$B$2+4,B218-1), 0)</f>
        <v>16</v>
      </c>
    </row>
    <row r="219" spans="1:4">
      <c r="A219" s="21" t="str">
        <f ca="1">"CFLAG,1797,"&amp;C219&amp;" ;改五舰载机数量3"</f>
        <v>CFLAG,1797,11 ;改五舰载机数量3</v>
      </c>
      <c r="B219" s="20">
        <v>42</v>
      </c>
      <c r="C219" s="20">
        <f ca="1">IF($B$3&gt;=5, OFFSET(Chara!$A$1,$B$2+4,B219-1), 0)</f>
        <v>11</v>
      </c>
    </row>
    <row r="220" spans="1:4">
      <c r="A220" s="21" t="str">
        <f ca="1">"CFLAG,1798,"&amp;C220&amp;" ;改五舰载机数量4"</f>
        <v>CFLAG,1798,8 ;改五舰载机数量4</v>
      </c>
      <c r="B220" s="20">
        <v>43</v>
      </c>
      <c r="C220" s="20">
        <f ca="1">IF($B$3&gt;=5, OFFSET(Chara!$A$1,$B$2+4,B220-1), 0)</f>
        <v>8</v>
      </c>
    </row>
    <row r="221" spans="1:4">
      <c r="A221" s="21" t="str">
        <f ca="1">"CFLAG,1799,"&amp;C221&amp;" ;改五最大耐久"</f>
        <v>CFLAG,1799,58 ;改五最大耐久</v>
      </c>
      <c r="B221" s="21">
        <v>14</v>
      </c>
      <c r="C221" s="20">
        <f ca="1">IF($B$3&gt;=5, OFFSET(Chara!$A$1,$B$2+4,B221-1), 0)</f>
        <v>58</v>
      </c>
    </row>
    <row r="222" spans="1:4">
      <c r="A222" s="21" t="str">
        <f ca="1">"CFLAG,1700,"&amp;D222&amp;" ;改五燃料弹药 XXX-XXX"</f>
        <v>CFLAG,1700,45040 ;改五燃料弹药 XXX-XXX</v>
      </c>
      <c r="B222" s="21">
        <v>26</v>
      </c>
      <c r="C222" s="20">
        <f ca="1">IF($B$3&gt;=5, OFFSET(Chara!$A$1,$B$2+4,B222-1), 0)</f>
        <v>45</v>
      </c>
      <c r="D222" s="20">
        <f ca="1">C222*1000+C223</f>
        <v>45040</v>
      </c>
    </row>
    <row r="223" spans="1:4">
      <c r="B223" s="20">
        <v>27</v>
      </c>
      <c r="C223" s="20">
        <f ca="1">IF($B$3&gt;=5, OFFSET(Chara!$A$1,$B$2+4,B223-1), 0)</f>
        <v>40</v>
      </c>
    </row>
  </sheetData>
  <phoneticPr fontId="2" type="noConversion"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541"/>
  <sheetViews>
    <sheetView zoomScale="85" zoomScaleNormal="85" workbookViewId="0">
      <pane xSplit="3" ySplit="2" topLeftCell="D3" activePane="bottomRight" state="frozen"/>
      <selection pane="topRight" activeCell="C1" sqref="C1"/>
      <selection pane="bottomLeft" activeCell="A3" sqref="A3"/>
      <selection pane="bottomRight" activeCell="E243" sqref="E243"/>
    </sheetView>
  </sheetViews>
  <sheetFormatPr defaultRowHeight="12.75"/>
  <cols>
    <col min="1" max="1" width="6.140625" bestFit="1" customWidth="1"/>
    <col min="2" max="2" width="8.7109375" bestFit="1" customWidth="1"/>
    <col min="3" max="3" width="27.85546875" customWidth="1"/>
    <col min="23" max="25" width="0" hidden="1" customWidth="1"/>
    <col min="27" max="29" width="0" hidden="1" customWidth="1"/>
    <col min="31" max="32" width="0" hidden="1" customWidth="1"/>
    <col min="35" max="36" width="0" hidden="1" customWidth="1"/>
    <col min="38" max="40" width="0" hidden="1" customWidth="1"/>
    <col min="42" max="42" width="31" customWidth="1"/>
  </cols>
  <sheetData>
    <row r="1" spans="1:43">
      <c r="D1">
        <v>1</v>
      </c>
      <c r="E1">
        <v>2</v>
      </c>
      <c r="F1">
        <v>3</v>
      </c>
      <c r="G1">
        <v>4</v>
      </c>
      <c r="H1">
        <v>5</v>
      </c>
      <c r="I1">
        <v>6</v>
      </c>
      <c r="J1">
        <v>7</v>
      </c>
      <c r="K1">
        <v>8</v>
      </c>
      <c r="L1">
        <v>9</v>
      </c>
      <c r="M1">
        <v>10</v>
      </c>
      <c r="N1">
        <v>11</v>
      </c>
      <c r="O1">
        <v>12</v>
      </c>
      <c r="P1">
        <v>13</v>
      </c>
      <c r="Q1">
        <v>14</v>
      </c>
      <c r="R1">
        <v>15</v>
      </c>
      <c r="S1">
        <v>16</v>
      </c>
      <c r="T1">
        <v>17</v>
      </c>
      <c r="U1">
        <v>18</v>
      </c>
      <c r="V1">
        <v>19</v>
      </c>
      <c r="W1">
        <v>20</v>
      </c>
      <c r="X1">
        <v>21</v>
      </c>
      <c r="Y1">
        <v>22</v>
      </c>
      <c r="Z1">
        <v>23</v>
      </c>
      <c r="AA1">
        <v>24</v>
      </c>
      <c r="AB1">
        <v>25</v>
      </c>
      <c r="AC1">
        <v>26</v>
      </c>
      <c r="AD1">
        <v>27</v>
      </c>
      <c r="AE1">
        <v>28</v>
      </c>
      <c r="AF1">
        <v>29</v>
      </c>
      <c r="AG1">
        <v>30</v>
      </c>
      <c r="AH1">
        <v>31</v>
      </c>
      <c r="AI1">
        <v>32</v>
      </c>
      <c r="AJ1">
        <v>33</v>
      </c>
      <c r="AK1">
        <v>34</v>
      </c>
      <c r="AL1">
        <v>35</v>
      </c>
      <c r="AM1">
        <v>36</v>
      </c>
      <c r="AN1">
        <v>37</v>
      </c>
    </row>
    <row r="2" spans="1:43" ht="14.25">
      <c r="A2" t="s">
        <v>694</v>
      </c>
      <c r="B2" t="s">
        <v>1440</v>
      </c>
      <c r="C2" t="s">
        <v>695</v>
      </c>
      <c r="D2" t="s">
        <v>513</v>
      </c>
      <c r="E2" t="s">
        <v>514</v>
      </c>
      <c r="F2" t="s">
        <v>515</v>
      </c>
      <c r="G2" t="s">
        <v>516</v>
      </c>
      <c r="H2" t="s">
        <v>517</v>
      </c>
      <c r="I2" t="s">
        <v>518</v>
      </c>
      <c r="J2" t="s">
        <v>519</v>
      </c>
      <c r="K2" t="s">
        <v>520</v>
      </c>
      <c r="L2" t="s">
        <v>521</v>
      </c>
      <c r="M2" t="s">
        <v>522</v>
      </c>
      <c r="N2" s="2" t="s">
        <v>524</v>
      </c>
      <c r="O2" s="3" t="s">
        <v>525</v>
      </c>
      <c r="P2" t="s">
        <v>526</v>
      </c>
      <c r="Q2" t="s">
        <v>527</v>
      </c>
      <c r="R2" t="s">
        <v>528</v>
      </c>
      <c r="S2" t="s">
        <v>529</v>
      </c>
      <c r="T2" s="4" t="s">
        <v>530</v>
      </c>
      <c r="U2" s="4" t="s">
        <v>531</v>
      </c>
      <c r="V2" s="4" t="s">
        <v>532</v>
      </c>
      <c r="W2" s="4" t="s">
        <v>533</v>
      </c>
      <c r="X2" s="4" t="s">
        <v>534</v>
      </c>
      <c r="Y2" s="4" t="s">
        <v>535</v>
      </c>
      <c r="Z2" s="4" t="s">
        <v>536</v>
      </c>
      <c r="AA2" s="2" t="s">
        <v>537</v>
      </c>
      <c r="AB2" s="2" t="s">
        <v>538</v>
      </c>
      <c r="AC2" s="4" t="s">
        <v>539</v>
      </c>
      <c r="AD2" s="4" t="s">
        <v>540</v>
      </c>
      <c r="AE2" s="4" t="s">
        <v>541</v>
      </c>
      <c r="AF2" s="4" t="s">
        <v>542</v>
      </c>
      <c r="AG2" s="5" t="s">
        <v>543</v>
      </c>
      <c r="AH2" s="5" t="s">
        <v>544</v>
      </c>
      <c r="AI2" s="3" t="s">
        <v>545</v>
      </c>
      <c r="AJ2" s="4" t="s">
        <v>546</v>
      </c>
      <c r="AK2" s="4" t="s">
        <v>547</v>
      </c>
      <c r="AL2" s="4" t="s">
        <v>548</v>
      </c>
      <c r="AM2" s="4" t="s">
        <v>549</v>
      </c>
      <c r="AN2" s="4" t="s">
        <v>550</v>
      </c>
      <c r="AO2" s="2" t="s">
        <v>1417</v>
      </c>
      <c r="AP2" s="1" t="s">
        <v>523</v>
      </c>
      <c r="AQ2" s="6" t="s">
        <v>564</v>
      </c>
    </row>
    <row r="3" spans="1:43" ht="14.25">
      <c r="A3">
        <v>1</v>
      </c>
      <c r="B3">
        <v>1</v>
      </c>
      <c r="C3" t="s">
        <v>0</v>
      </c>
      <c r="D3">
        <v>1</v>
      </c>
      <c r="G3">
        <v>1</v>
      </c>
      <c r="L3">
        <v>1</v>
      </c>
      <c r="N3">
        <v>1</v>
      </c>
      <c r="Q3">
        <v>1</v>
      </c>
      <c r="R3">
        <v>1</v>
      </c>
      <c r="Z3">
        <v>1</v>
      </c>
      <c r="AK3">
        <v>1</v>
      </c>
      <c r="AO3" t="s">
        <v>1432</v>
      </c>
      <c r="AQ3" s="7" t="s">
        <v>565</v>
      </c>
    </row>
    <row r="4" spans="1:43" ht="14.25">
      <c r="A4">
        <v>2</v>
      </c>
      <c r="B4">
        <v>1</v>
      </c>
      <c r="C4" t="s">
        <v>1</v>
      </c>
      <c r="D4">
        <v>2</v>
      </c>
      <c r="G4">
        <v>2</v>
      </c>
      <c r="L4">
        <v>1</v>
      </c>
      <c r="N4">
        <v>1</v>
      </c>
      <c r="Q4">
        <v>1</v>
      </c>
      <c r="R4">
        <v>2</v>
      </c>
      <c r="Z4">
        <v>1</v>
      </c>
      <c r="AK4">
        <v>1</v>
      </c>
      <c r="AO4" t="s">
        <v>1432</v>
      </c>
      <c r="AQ4" s="7" t="s">
        <v>565</v>
      </c>
    </row>
    <row r="5" spans="1:43" ht="14.25">
      <c r="A5">
        <v>3</v>
      </c>
      <c r="B5">
        <v>1</v>
      </c>
      <c r="C5" t="s">
        <v>2</v>
      </c>
      <c r="D5">
        <v>2</v>
      </c>
      <c r="G5">
        <v>7</v>
      </c>
      <c r="L5">
        <v>1</v>
      </c>
      <c r="N5">
        <v>1</v>
      </c>
      <c r="Q5">
        <v>1</v>
      </c>
      <c r="R5">
        <v>3</v>
      </c>
      <c r="Z5">
        <v>1</v>
      </c>
      <c r="AA5">
        <v>4</v>
      </c>
      <c r="AB5">
        <v>35</v>
      </c>
      <c r="AK5">
        <v>1</v>
      </c>
      <c r="AO5" t="s">
        <v>1432</v>
      </c>
      <c r="AQ5" s="7" t="s">
        <v>565</v>
      </c>
    </row>
    <row r="6" spans="1:43" ht="14.25">
      <c r="A6">
        <v>4</v>
      </c>
      <c r="B6">
        <v>1</v>
      </c>
      <c r="C6" t="s">
        <v>3</v>
      </c>
      <c r="D6">
        <v>2</v>
      </c>
      <c r="J6">
        <v>1</v>
      </c>
      <c r="L6">
        <v>2</v>
      </c>
      <c r="N6">
        <v>1</v>
      </c>
      <c r="Q6">
        <v>2</v>
      </c>
      <c r="R6">
        <v>1</v>
      </c>
      <c r="Z6">
        <v>2</v>
      </c>
      <c r="AK6">
        <v>2</v>
      </c>
      <c r="AO6" t="s">
        <v>1432</v>
      </c>
      <c r="AQ6" s="7" t="s">
        <v>566</v>
      </c>
    </row>
    <row r="7" spans="1:43" ht="14.25">
      <c r="A7">
        <v>5</v>
      </c>
      <c r="B7">
        <v>1</v>
      </c>
      <c r="C7" t="s">
        <v>4</v>
      </c>
      <c r="D7">
        <v>7</v>
      </c>
      <c r="G7">
        <v>4</v>
      </c>
      <c r="J7">
        <v>1</v>
      </c>
      <c r="L7">
        <v>2</v>
      </c>
      <c r="N7">
        <v>1</v>
      </c>
      <c r="Q7">
        <v>2</v>
      </c>
      <c r="R7">
        <v>5</v>
      </c>
      <c r="Z7">
        <v>2</v>
      </c>
      <c r="AK7">
        <v>4</v>
      </c>
      <c r="AO7" t="s">
        <v>1432</v>
      </c>
      <c r="AQ7" s="7" t="s">
        <v>566</v>
      </c>
    </row>
    <row r="8" spans="1:43" ht="14.25">
      <c r="A8">
        <v>6</v>
      </c>
      <c r="B8">
        <v>1</v>
      </c>
      <c r="C8" t="s">
        <v>5</v>
      </c>
      <c r="D8">
        <v>8</v>
      </c>
      <c r="G8">
        <v>3</v>
      </c>
      <c r="L8">
        <v>2</v>
      </c>
      <c r="N8">
        <v>1</v>
      </c>
      <c r="Q8">
        <v>3</v>
      </c>
      <c r="R8">
        <v>4</v>
      </c>
      <c r="Z8">
        <v>3</v>
      </c>
      <c r="AK8">
        <v>6</v>
      </c>
      <c r="AO8" t="s">
        <v>1432</v>
      </c>
      <c r="AQ8" t="s">
        <v>567</v>
      </c>
    </row>
    <row r="9" spans="1:43" ht="14.25">
      <c r="A9">
        <v>7</v>
      </c>
      <c r="B9">
        <v>1</v>
      </c>
      <c r="C9" t="s">
        <v>6</v>
      </c>
      <c r="D9">
        <v>15</v>
      </c>
      <c r="G9">
        <v>4</v>
      </c>
      <c r="L9">
        <v>3</v>
      </c>
      <c r="N9">
        <v>1</v>
      </c>
      <c r="Q9">
        <v>10</v>
      </c>
      <c r="R9">
        <v>15</v>
      </c>
      <c r="Z9">
        <v>4</v>
      </c>
      <c r="AK9">
        <v>10</v>
      </c>
      <c r="AO9" t="s">
        <v>1432</v>
      </c>
      <c r="AQ9" s="7" t="s">
        <v>568</v>
      </c>
    </row>
    <row r="10" spans="1:43" ht="14.25">
      <c r="A10">
        <v>8</v>
      </c>
      <c r="B10">
        <v>1</v>
      </c>
      <c r="C10" t="s">
        <v>7</v>
      </c>
      <c r="D10">
        <v>20</v>
      </c>
      <c r="G10">
        <v>4</v>
      </c>
      <c r="L10">
        <v>3</v>
      </c>
      <c r="N10">
        <v>1</v>
      </c>
      <c r="Q10">
        <v>12</v>
      </c>
      <c r="R10">
        <v>20</v>
      </c>
      <c r="Z10">
        <v>4</v>
      </c>
      <c r="AK10">
        <v>12</v>
      </c>
      <c r="AO10" t="s">
        <v>1432</v>
      </c>
      <c r="AQ10" s="7" t="s">
        <v>568</v>
      </c>
    </row>
    <row r="11" spans="1:43" ht="14.25">
      <c r="A11">
        <v>9</v>
      </c>
      <c r="B11">
        <v>1</v>
      </c>
      <c r="C11" t="s">
        <v>8</v>
      </c>
      <c r="D11">
        <v>26</v>
      </c>
      <c r="G11">
        <v>5</v>
      </c>
      <c r="L11">
        <v>4</v>
      </c>
      <c r="N11">
        <v>1</v>
      </c>
      <c r="Q11">
        <v>24</v>
      </c>
      <c r="R11">
        <v>25</v>
      </c>
      <c r="Z11">
        <v>4</v>
      </c>
      <c r="AK11">
        <v>15</v>
      </c>
      <c r="AO11" t="s">
        <v>1432</v>
      </c>
      <c r="AQ11" s="7" t="s">
        <v>569</v>
      </c>
    </row>
    <row r="12" spans="1:43">
      <c r="A12">
        <v>10</v>
      </c>
      <c r="B12">
        <v>2</v>
      </c>
      <c r="C12" t="s">
        <v>9</v>
      </c>
      <c r="D12">
        <v>2</v>
      </c>
      <c r="G12">
        <v>4</v>
      </c>
      <c r="J12">
        <v>1</v>
      </c>
      <c r="L12">
        <v>1</v>
      </c>
      <c r="N12">
        <v>2</v>
      </c>
      <c r="Q12">
        <v>2</v>
      </c>
      <c r="R12">
        <v>2</v>
      </c>
      <c r="Z12">
        <v>1</v>
      </c>
      <c r="AA12">
        <v>4</v>
      </c>
      <c r="AB12">
        <v>35</v>
      </c>
      <c r="AK12">
        <v>1</v>
      </c>
      <c r="AO12" t="s">
        <v>1432</v>
      </c>
      <c r="AQ12" s="8" t="s">
        <v>570</v>
      </c>
    </row>
    <row r="13" spans="1:43">
      <c r="A13">
        <v>11</v>
      </c>
      <c r="B13">
        <v>2</v>
      </c>
      <c r="C13" t="s">
        <v>10</v>
      </c>
      <c r="D13">
        <v>2</v>
      </c>
      <c r="J13">
        <v>1</v>
      </c>
      <c r="L13">
        <v>2</v>
      </c>
      <c r="N13">
        <v>2</v>
      </c>
      <c r="Q13">
        <v>2</v>
      </c>
      <c r="R13">
        <v>2</v>
      </c>
      <c r="Z13">
        <v>2</v>
      </c>
      <c r="AK13">
        <v>2</v>
      </c>
      <c r="AO13" t="s">
        <v>1432</v>
      </c>
      <c r="AQ13" s="8" t="s">
        <v>570</v>
      </c>
    </row>
    <row r="14" spans="1:43">
      <c r="A14">
        <v>12</v>
      </c>
      <c r="B14">
        <v>2</v>
      </c>
      <c r="C14" t="s">
        <v>11</v>
      </c>
      <c r="D14">
        <v>7</v>
      </c>
      <c r="G14">
        <v>3</v>
      </c>
      <c r="J14">
        <v>2</v>
      </c>
      <c r="L14">
        <v>2</v>
      </c>
      <c r="N14">
        <v>2</v>
      </c>
      <c r="Q14">
        <v>2</v>
      </c>
      <c r="R14">
        <v>5</v>
      </c>
      <c r="Z14">
        <v>2</v>
      </c>
      <c r="AK14">
        <v>4</v>
      </c>
      <c r="AO14" t="s">
        <v>1432</v>
      </c>
      <c r="AQ14" s="8" t="s">
        <v>570</v>
      </c>
    </row>
    <row r="15" spans="1:43">
      <c r="A15">
        <v>13</v>
      </c>
      <c r="B15">
        <v>3</v>
      </c>
      <c r="C15" t="s">
        <v>12</v>
      </c>
      <c r="E15">
        <v>5</v>
      </c>
      <c r="L15">
        <v>1</v>
      </c>
      <c r="N15">
        <v>3</v>
      </c>
      <c r="P15">
        <v>1</v>
      </c>
      <c r="Q15">
        <v>1</v>
      </c>
      <c r="R15">
        <v>1</v>
      </c>
      <c r="AO15" t="s">
        <v>1432</v>
      </c>
      <c r="AQ15" s="7" t="s">
        <v>571</v>
      </c>
    </row>
    <row r="16" spans="1:43">
      <c r="A16">
        <v>14</v>
      </c>
      <c r="B16">
        <v>3</v>
      </c>
      <c r="C16" t="s">
        <v>13</v>
      </c>
      <c r="E16">
        <v>7</v>
      </c>
      <c r="L16">
        <v>1</v>
      </c>
      <c r="N16">
        <v>3</v>
      </c>
      <c r="P16">
        <v>1</v>
      </c>
      <c r="Q16">
        <v>2</v>
      </c>
      <c r="R16">
        <v>2</v>
      </c>
      <c r="AO16" t="s">
        <v>1432</v>
      </c>
      <c r="AQ16" s="7" t="s">
        <v>571</v>
      </c>
    </row>
    <row r="17" spans="1:43">
      <c r="A17">
        <v>15</v>
      </c>
      <c r="B17">
        <v>3</v>
      </c>
      <c r="C17" t="s">
        <v>14</v>
      </c>
      <c r="E17">
        <v>10</v>
      </c>
      <c r="L17">
        <v>1</v>
      </c>
      <c r="N17">
        <v>3</v>
      </c>
      <c r="P17">
        <v>2</v>
      </c>
      <c r="Q17">
        <v>2</v>
      </c>
      <c r="R17">
        <v>2</v>
      </c>
      <c r="AO17" t="s">
        <v>1432</v>
      </c>
      <c r="AQ17" s="7" t="s">
        <v>571</v>
      </c>
    </row>
    <row r="18" spans="1:43">
      <c r="A18">
        <v>16</v>
      </c>
      <c r="B18">
        <v>7</v>
      </c>
      <c r="C18" t="s">
        <v>15</v>
      </c>
      <c r="E18">
        <v>5</v>
      </c>
      <c r="H18">
        <v>4</v>
      </c>
      <c r="I18">
        <v>1</v>
      </c>
      <c r="N18">
        <v>7</v>
      </c>
      <c r="P18">
        <v>1</v>
      </c>
      <c r="Q18">
        <v>1</v>
      </c>
      <c r="S18">
        <v>2</v>
      </c>
      <c r="T18">
        <v>1</v>
      </c>
      <c r="AG18">
        <v>5</v>
      </c>
      <c r="AO18" t="s">
        <v>1432</v>
      </c>
      <c r="AQ18" s="7" t="s">
        <v>572</v>
      </c>
    </row>
    <row r="19" spans="1:43">
      <c r="A19">
        <v>17</v>
      </c>
      <c r="B19">
        <v>7</v>
      </c>
      <c r="C19" t="s">
        <v>16</v>
      </c>
      <c r="E19">
        <v>7</v>
      </c>
      <c r="H19">
        <v>3</v>
      </c>
      <c r="I19">
        <v>1</v>
      </c>
      <c r="N19">
        <v>7</v>
      </c>
      <c r="P19">
        <v>2</v>
      </c>
      <c r="Q19">
        <v>4</v>
      </c>
      <c r="S19">
        <v>4</v>
      </c>
      <c r="T19">
        <v>1</v>
      </c>
      <c r="AG19">
        <v>6</v>
      </c>
      <c r="AO19" t="s">
        <v>1432</v>
      </c>
      <c r="AQ19" s="7" t="s">
        <v>572</v>
      </c>
    </row>
    <row r="20" spans="1:43">
      <c r="A20">
        <v>18</v>
      </c>
      <c r="B20">
        <v>7</v>
      </c>
      <c r="C20" t="s">
        <v>17</v>
      </c>
      <c r="E20">
        <v>10</v>
      </c>
      <c r="H20">
        <v>4</v>
      </c>
      <c r="I20">
        <v>1</v>
      </c>
      <c r="N20">
        <v>7</v>
      </c>
      <c r="P20">
        <v>2</v>
      </c>
      <c r="Q20">
        <v>5</v>
      </c>
      <c r="S20">
        <v>10</v>
      </c>
      <c r="T20">
        <v>1</v>
      </c>
      <c r="AG20">
        <v>7</v>
      </c>
      <c r="AO20" t="s">
        <v>1432</v>
      </c>
      <c r="AQ20" s="7" t="s">
        <v>572</v>
      </c>
    </row>
    <row r="21" spans="1:43">
      <c r="A21">
        <v>19</v>
      </c>
      <c r="B21">
        <v>5</v>
      </c>
      <c r="C21" t="s">
        <v>18</v>
      </c>
      <c r="G21">
        <v>2</v>
      </c>
      <c r="N21">
        <v>5</v>
      </c>
      <c r="P21">
        <v>1</v>
      </c>
      <c r="Q21">
        <v>1</v>
      </c>
      <c r="S21">
        <v>1</v>
      </c>
      <c r="T21">
        <v>1</v>
      </c>
      <c r="AG21">
        <v>3</v>
      </c>
      <c r="AO21" t="s">
        <v>1432</v>
      </c>
      <c r="AQ21" s="7" t="s">
        <v>573</v>
      </c>
    </row>
    <row r="22" spans="1:43">
      <c r="A22">
        <v>20</v>
      </c>
      <c r="B22">
        <v>5</v>
      </c>
      <c r="C22" t="s">
        <v>19</v>
      </c>
      <c r="G22">
        <v>5</v>
      </c>
      <c r="N22">
        <v>5</v>
      </c>
      <c r="P22">
        <v>1</v>
      </c>
      <c r="Q22">
        <v>1</v>
      </c>
      <c r="S22">
        <v>2</v>
      </c>
      <c r="T22">
        <v>1</v>
      </c>
      <c r="AG22">
        <v>4</v>
      </c>
      <c r="AO22" t="s">
        <v>1432</v>
      </c>
      <c r="AQ22" s="7" t="s">
        <v>573</v>
      </c>
    </row>
    <row r="23" spans="1:43">
      <c r="A23">
        <v>21</v>
      </c>
      <c r="B23">
        <v>5</v>
      </c>
      <c r="C23" t="s">
        <v>20</v>
      </c>
      <c r="G23">
        <v>6</v>
      </c>
      <c r="N23">
        <v>5</v>
      </c>
      <c r="P23">
        <v>1</v>
      </c>
      <c r="Q23">
        <v>2</v>
      </c>
      <c r="S23">
        <v>3</v>
      </c>
      <c r="T23">
        <v>1</v>
      </c>
      <c r="AG23">
        <v>5</v>
      </c>
      <c r="AO23" t="s">
        <v>1432</v>
      </c>
      <c r="AQ23" s="7" t="s">
        <v>573</v>
      </c>
    </row>
    <row r="24" spans="1:43">
      <c r="A24">
        <v>22</v>
      </c>
      <c r="B24">
        <v>5</v>
      </c>
      <c r="C24" t="s">
        <v>21</v>
      </c>
      <c r="G24">
        <v>10</v>
      </c>
      <c r="N24">
        <v>5</v>
      </c>
      <c r="P24">
        <v>2</v>
      </c>
      <c r="Q24">
        <v>2</v>
      </c>
      <c r="S24">
        <v>9</v>
      </c>
      <c r="T24">
        <v>1</v>
      </c>
      <c r="AG24">
        <v>7</v>
      </c>
      <c r="AO24" t="s">
        <v>1432</v>
      </c>
      <c r="AQ24" s="7" t="s">
        <v>573</v>
      </c>
    </row>
    <row r="25" spans="1:43">
      <c r="A25">
        <v>23</v>
      </c>
      <c r="B25">
        <v>6</v>
      </c>
      <c r="C25" t="s">
        <v>22</v>
      </c>
      <c r="F25">
        <v>5</v>
      </c>
      <c r="H25">
        <v>3</v>
      </c>
      <c r="N25">
        <v>6</v>
      </c>
      <c r="P25">
        <v>1</v>
      </c>
      <c r="Q25">
        <v>1</v>
      </c>
      <c r="S25">
        <v>2</v>
      </c>
      <c r="T25">
        <v>1</v>
      </c>
      <c r="AG25">
        <v>4</v>
      </c>
      <c r="AO25" t="s">
        <v>1432</v>
      </c>
      <c r="AQ25" s="7" t="s">
        <v>574</v>
      </c>
    </row>
    <row r="26" spans="1:43">
      <c r="A26">
        <v>24</v>
      </c>
      <c r="B26">
        <v>6</v>
      </c>
      <c r="C26" t="s">
        <v>23</v>
      </c>
      <c r="F26">
        <v>8</v>
      </c>
      <c r="H26">
        <v>3</v>
      </c>
      <c r="N26">
        <v>6</v>
      </c>
      <c r="P26">
        <v>2</v>
      </c>
      <c r="Q26">
        <v>3</v>
      </c>
      <c r="S26">
        <v>3</v>
      </c>
      <c r="T26">
        <v>1</v>
      </c>
      <c r="AG26">
        <v>5</v>
      </c>
      <c r="AO26" t="s">
        <v>1432</v>
      </c>
      <c r="AQ26" s="7" t="s">
        <v>574</v>
      </c>
    </row>
    <row r="27" spans="1:43">
      <c r="A27">
        <v>25</v>
      </c>
      <c r="B27">
        <v>8</v>
      </c>
      <c r="C27" t="s">
        <v>24</v>
      </c>
      <c r="F27">
        <v>1</v>
      </c>
      <c r="G27">
        <v>1</v>
      </c>
      <c r="H27">
        <v>2</v>
      </c>
      <c r="I27">
        <v>5</v>
      </c>
      <c r="J27">
        <v>1</v>
      </c>
      <c r="N27">
        <v>8</v>
      </c>
      <c r="P27">
        <v>1</v>
      </c>
      <c r="Q27">
        <v>1</v>
      </c>
      <c r="S27">
        <v>2</v>
      </c>
      <c r="T27">
        <v>2</v>
      </c>
      <c r="AG27">
        <v>5</v>
      </c>
      <c r="AO27" t="s">
        <v>1432</v>
      </c>
      <c r="AQ27" s="7" t="s">
        <v>575</v>
      </c>
    </row>
    <row r="28" spans="1:43">
      <c r="A28">
        <v>26</v>
      </c>
      <c r="B28">
        <v>6</v>
      </c>
      <c r="C28" t="s">
        <v>25</v>
      </c>
      <c r="F28">
        <v>4</v>
      </c>
      <c r="G28">
        <v>2</v>
      </c>
      <c r="H28">
        <v>4</v>
      </c>
      <c r="I28">
        <v>6</v>
      </c>
      <c r="J28">
        <v>1</v>
      </c>
      <c r="N28">
        <v>6</v>
      </c>
      <c r="P28">
        <v>2</v>
      </c>
      <c r="Q28">
        <v>3</v>
      </c>
      <c r="S28">
        <v>5</v>
      </c>
      <c r="T28">
        <v>2</v>
      </c>
      <c r="AG28">
        <v>6</v>
      </c>
      <c r="AO28" t="s">
        <v>1432</v>
      </c>
      <c r="AQ28" t="s">
        <v>576</v>
      </c>
    </row>
    <row r="29" spans="1:43">
      <c r="A29">
        <v>27</v>
      </c>
      <c r="B29">
        <v>10</v>
      </c>
      <c r="C29" t="s">
        <v>26</v>
      </c>
      <c r="G29">
        <v>2</v>
      </c>
      <c r="I29">
        <v>3</v>
      </c>
      <c r="J29">
        <v>1</v>
      </c>
      <c r="N29">
        <v>10</v>
      </c>
      <c r="R29">
        <v>10</v>
      </c>
      <c r="S29">
        <v>10</v>
      </c>
      <c r="AO29" t="s">
        <v>1432</v>
      </c>
      <c r="AQ29" s="7" t="s">
        <v>577</v>
      </c>
    </row>
    <row r="30" spans="1:43">
      <c r="A30">
        <v>28</v>
      </c>
      <c r="B30">
        <v>10</v>
      </c>
      <c r="C30" t="s">
        <v>27</v>
      </c>
      <c r="I30">
        <v>5</v>
      </c>
      <c r="J30">
        <v>3</v>
      </c>
      <c r="N30">
        <v>10</v>
      </c>
      <c r="R30">
        <v>15</v>
      </c>
      <c r="S30">
        <v>15</v>
      </c>
      <c r="AO30" t="s">
        <v>1432</v>
      </c>
      <c r="AQ30" s="7" t="s">
        <v>577</v>
      </c>
    </row>
    <row r="31" spans="1:43">
      <c r="A31">
        <v>29</v>
      </c>
      <c r="B31">
        <v>10</v>
      </c>
      <c r="C31" t="s">
        <v>28</v>
      </c>
      <c r="I31">
        <v>7</v>
      </c>
      <c r="J31">
        <v>5</v>
      </c>
      <c r="N31">
        <v>10</v>
      </c>
      <c r="R31">
        <v>20</v>
      </c>
      <c r="S31">
        <v>15</v>
      </c>
      <c r="AO31" t="s">
        <v>1432</v>
      </c>
      <c r="AQ31" s="7" t="s">
        <v>577</v>
      </c>
    </row>
    <row r="32" spans="1:43">
      <c r="A32">
        <v>30</v>
      </c>
      <c r="B32">
        <v>10</v>
      </c>
      <c r="C32" t="s">
        <v>29</v>
      </c>
      <c r="G32">
        <v>4</v>
      </c>
      <c r="I32">
        <v>4</v>
      </c>
      <c r="J32">
        <v>2</v>
      </c>
      <c r="N32">
        <v>10</v>
      </c>
      <c r="R32">
        <v>20</v>
      </c>
      <c r="S32">
        <v>20</v>
      </c>
      <c r="AO32" t="s">
        <v>1432</v>
      </c>
      <c r="AQ32" s="7" t="s">
        <v>578</v>
      </c>
    </row>
    <row r="33" spans="1:43">
      <c r="A33">
        <v>31</v>
      </c>
      <c r="B33">
        <v>10</v>
      </c>
      <c r="C33" t="s">
        <v>30</v>
      </c>
      <c r="I33">
        <v>10</v>
      </c>
      <c r="J33">
        <v>8</v>
      </c>
      <c r="N33">
        <v>10</v>
      </c>
      <c r="R33">
        <v>20</v>
      </c>
      <c r="S33">
        <v>25</v>
      </c>
      <c r="AO33" t="s">
        <v>1432</v>
      </c>
      <c r="AQ33" s="7" t="s">
        <v>578</v>
      </c>
    </row>
    <row r="34" spans="1:43">
      <c r="A34">
        <v>32</v>
      </c>
      <c r="B34">
        <v>10</v>
      </c>
      <c r="C34" t="s">
        <v>31</v>
      </c>
      <c r="G34">
        <v>6</v>
      </c>
      <c r="I34">
        <v>5</v>
      </c>
      <c r="J34">
        <v>4</v>
      </c>
      <c r="N34">
        <v>10</v>
      </c>
      <c r="R34">
        <v>25</v>
      </c>
      <c r="S34">
        <v>25</v>
      </c>
      <c r="AO34" t="s">
        <v>1432</v>
      </c>
      <c r="AQ34" s="7" t="s">
        <v>578</v>
      </c>
    </row>
    <row r="35" spans="1:43" ht="14.25">
      <c r="A35">
        <v>33</v>
      </c>
      <c r="B35">
        <v>11</v>
      </c>
      <c r="C35" t="s">
        <v>32</v>
      </c>
      <c r="K35">
        <v>6</v>
      </c>
      <c r="N35">
        <v>11</v>
      </c>
      <c r="P35">
        <v>10</v>
      </c>
      <c r="R35">
        <v>10</v>
      </c>
      <c r="AM35">
        <v>6</v>
      </c>
      <c r="AO35" t="s">
        <v>1432</v>
      </c>
      <c r="AQ35" s="2" t="s">
        <v>579</v>
      </c>
    </row>
    <row r="36" spans="1:43" ht="14.25">
      <c r="A36">
        <v>34</v>
      </c>
      <c r="B36">
        <v>11</v>
      </c>
      <c r="C36" t="s">
        <v>33</v>
      </c>
      <c r="K36">
        <v>10</v>
      </c>
      <c r="N36">
        <v>11</v>
      </c>
      <c r="P36">
        <v>10</v>
      </c>
      <c r="R36">
        <v>20</v>
      </c>
      <c r="AN36">
        <v>4</v>
      </c>
      <c r="AO36" t="s">
        <v>1432</v>
      </c>
      <c r="AQ36" s="2" t="s">
        <v>579</v>
      </c>
    </row>
    <row r="37" spans="1:43">
      <c r="A37">
        <v>35</v>
      </c>
      <c r="B37">
        <v>18</v>
      </c>
      <c r="C37" t="s">
        <v>34</v>
      </c>
      <c r="G37">
        <v>5</v>
      </c>
      <c r="N37">
        <v>18</v>
      </c>
      <c r="Q37">
        <v>9</v>
      </c>
      <c r="R37">
        <v>6</v>
      </c>
      <c r="S37">
        <v>3</v>
      </c>
      <c r="AB37">
        <v>60</v>
      </c>
      <c r="AF37">
        <v>1</v>
      </c>
      <c r="AL37">
        <v>3</v>
      </c>
      <c r="AO37" t="s">
        <v>1432</v>
      </c>
      <c r="AQ37" t="s">
        <v>577</v>
      </c>
    </row>
    <row r="38" spans="1:43" ht="14.25">
      <c r="A38">
        <v>36</v>
      </c>
      <c r="B38">
        <v>18</v>
      </c>
      <c r="C38" t="s">
        <v>35</v>
      </c>
      <c r="D38">
        <v>8</v>
      </c>
      <c r="J38">
        <v>1</v>
      </c>
      <c r="N38">
        <v>18</v>
      </c>
      <c r="Q38">
        <v>3</v>
      </c>
      <c r="R38">
        <v>9</v>
      </c>
      <c r="X38">
        <v>20</v>
      </c>
      <c r="AL38">
        <v>4</v>
      </c>
      <c r="AO38" t="s">
        <v>1432</v>
      </c>
      <c r="AP38" s="4" t="s">
        <v>563</v>
      </c>
      <c r="AQ38" s="7" t="s">
        <v>580</v>
      </c>
    </row>
    <row r="39" spans="1:43">
      <c r="A39">
        <v>37</v>
      </c>
      <c r="B39">
        <v>12</v>
      </c>
      <c r="C39" t="s">
        <v>36</v>
      </c>
      <c r="G39">
        <v>2</v>
      </c>
      <c r="K39">
        <v>1</v>
      </c>
      <c r="N39">
        <v>12</v>
      </c>
      <c r="Q39">
        <v>1</v>
      </c>
      <c r="R39">
        <v>1</v>
      </c>
      <c r="AO39" t="s">
        <v>1432</v>
      </c>
      <c r="AQ39" s="7" t="s">
        <v>577</v>
      </c>
    </row>
    <row r="40" spans="1:43">
      <c r="A40">
        <v>38</v>
      </c>
      <c r="B40">
        <v>12</v>
      </c>
      <c r="C40" t="s">
        <v>37</v>
      </c>
      <c r="G40">
        <v>3</v>
      </c>
      <c r="K40">
        <v>1</v>
      </c>
      <c r="N40">
        <v>12</v>
      </c>
      <c r="Q40">
        <v>1</v>
      </c>
      <c r="R40">
        <v>1</v>
      </c>
      <c r="AO40" t="s">
        <v>1432</v>
      </c>
      <c r="AQ40" s="7" t="s">
        <v>577</v>
      </c>
    </row>
    <row r="41" spans="1:43">
      <c r="A41">
        <v>39</v>
      </c>
      <c r="B41">
        <v>12</v>
      </c>
      <c r="C41" t="s">
        <v>38</v>
      </c>
      <c r="G41">
        <v>5</v>
      </c>
      <c r="K41">
        <v>1</v>
      </c>
      <c r="N41">
        <v>12</v>
      </c>
      <c r="Q41">
        <v>2</v>
      </c>
      <c r="R41">
        <v>1</v>
      </c>
      <c r="AO41" t="s">
        <v>1432</v>
      </c>
      <c r="AQ41" s="7" t="s">
        <v>577</v>
      </c>
    </row>
    <row r="42" spans="1:43">
      <c r="A42">
        <v>40</v>
      </c>
      <c r="B42">
        <v>12</v>
      </c>
      <c r="C42" t="s">
        <v>39</v>
      </c>
      <c r="G42">
        <v>6</v>
      </c>
      <c r="K42">
        <v>1</v>
      </c>
      <c r="N42">
        <v>12</v>
      </c>
      <c r="Q42">
        <v>3</v>
      </c>
      <c r="R42">
        <v>1</v>
      </c>
      <c r="AO42" t="s">
        <v>1432</v>
      </c>
      <c r="AQ42" s="7" t="s">
        <v>577</v>
      </c>
    </row>
    <row r="43" spans="1:43">
      <c r="A43">
        <v>41</v>
      </c>
      <c r="B43">
        <v>4</v>
      </c>
      <c r="C43" t="s">
        <v>40</v>
      </c>
      <c r="E43">
        <v>12</v>
      </c>
      <c r="N43">
        <v>4</v>
      </c>
      <c r="Q43">
        <v>7</v>
      </c>
      <c r="R43">
        <v>7</v>
      </c>
      <c r="W43">
        <v>-1</v>
      </c>
      <c r="AO43" t="s">
        <v>1432</v>
      </c>
      <c r="AQ43" s="9" t="s">
        <v>581</v>
      </c>
    </row>
    <row r="44" spans="1:43" ht="14.25">
      <c r="A44">
        <v>42</v>
      </c>
      <c r="B44">
        <v>16</v>
      </c>
      <c r="C44" t="s">
        <v>41</v>
      </c>
      <c r="N44">
        <v>16</v>
      </c>
      <c r="R44">
        <v>1</v>
      </c>
      <c r="AP44" t="s">
        <v>552</v>
      </c>
      <c r="AQ44" s="2" t="s">
        <v>582</v>
      </c>
    </row>
    <row r="45" spans="1:43" ht="14.25">
      <c r="A45">
        <v>43</v>
      </c>
      <c r="B45">
        <v>16</v>
      </c>
      <c r="C45" t="s">
        <v>42</v>
      </c>
      <c r="N45">
        <v>16</v>
      </c>
      <c r="R45">
        <v>1</v>
      </c>
      <c r="AP45" t="s">
        <v>553</v>
      </c>
      <c r="AQ45" s="2" t="s">
        <v>582</v>
      </c>
    </row>
    <row r="46" spans="1:43" ht="14.25">
      <c r="A46">
        <v>44</v>
      </c>
      <c r="B46">
        <v>14</v>
      </c>
      <c r="C46" t="s">
        <v>43</v>
      </c>
      <c r="H46">
        <v>5</v>
      </c>
      <c r="N46">
        <v>14</v>
      </c>
      <c r="Q46">
        <v>2</v>
      </c>
      <c r="R46">
        <v>1</v>
      </c>
      <c r="S46">
        <v>1</v>
      </c>
      <c r="AL46">
        <v>8</v>
      </c>
      <c r="AO46" t="s">
        <v>1432</v>
      </c>
      <c r="AQ46" s="7" t="s">
        <v>583</v>
      </c>
    </row>
    <row r="47" spans="1:43" ht="14.25">
      <c r="A47">
        <v>45</v>
      </c>
      <c r="B47">
        <v>14</v>
      </c>
      <c r="C47" t="s">
        <v>44</v>
      </c>
      <c r="H47">
        <v>8</v>
      </c>
      <c r="N47">
        <v>14</v>
      </c>
      <c r="Q47">
        <v>3</v>
      </c>
      <c r="R47">
        <v>1</v>
      </c>
      <c r="S47">
        <v>1</v>
      </c>
      <c r="AL47">
        <v>8</v>
      </c>
      <c r="AO47" t="s">
        <v>1432</v>
      </c>
      <c r="AQ47" s="7" t="s">
        <v>583</v>
      </c>
    </row>
    <row r="48" spans="1:43" ht="14.25">
      <c r="A48">
        <v>46</v>
      </c>
      <c r="B48">
        <v>15</v>
      </c>
      <c r="C48" t="s">
        <v>45</v>
      </c>
      <c r="H48">
        <v>6</v>
      </c>
      <c r="J48">
        <v>1</v>
      </c>
      <c r="N48">
        <v>15</v>
      </c>
      <c r="R48">
        <v>1</v>
      </c>
      <c r="S48">
        <v>1</v>
      </c>
      <c r="AO48" t="s">
        <v>1432</v>
      </c>
      <c r="AQ48" s="7" t="s">
        <v>584</v>
      </c>
    </row>
    <row r="49" spans="1:43" ht="14.25">
      <c r="A49">
        <v>47</v>
      </c>
      <c r="B49">
        <v>15</v>
      </c>
      <c r="C49" t="s">
        <v>46</v>
      </c>
      <c r="H49">
        <v>10</v>
      </c>
      <c r="J49">
        <v>2</v>
      </c>
      <c r="N49">
        <v>15</v>
      </c>
      <c r="R49">
        <v>1</v>
      </c>
      <c r="S49">
        <v>2</v>
      </c>
      <c r="AO49" t="s">
        <v>1432</v>
      </c>
      <c r="AQ49" s="7" t="s">
        <v>584</v>
      </c>
    </row>
    <row r="50" spans="1:43" ht="14.25">
      <c r="A50">
        <v>48</v>
      </c>
      <c r="B50">
        <v>1</v>
      </c>
      <c r="C50" t="s">
        <v>47</v>
      </c>
      <c r="D50">
        <v>1</v>
      </c>
      <c r="G50">
        <v>3</v>
      </c>
      <c r="L50">
        <v>1</v>
      </c>
      <c r="N50">
        <v>1</v>
      </c>
      <c r="Q50">
        <v>1</v>
      </c>
      <c r="R50">
        <v>1</v>
      </c>
      <c r="Z50">
        <v>1</v>
      </c>
      <c r="AA50">
        <v>4</v>
      </c>
      <c r="AB50">
        <v>35</v>
      </c>
      <c r="AK50">
        <v>1</v>
      </c>
      <c r="AO50" t="s">
        <v>1432</v>
      </c>
      <c r="AQ50" s="7" t="s">
        <v>565</v>
      </c>
    </row>
    <row r="51" spans="1:43">
      <c r="A51">
        <v>49</v>
      </c>
      <c r="B51">
        <v>12</v>
      </c>
      <c r="C51" t="s">
        <v>48</v>
      </c>
      <c r="G51">
        <v>4</v>
      </c>
      <c r="K51">
        <v>1</v>
      </c>
      <c r="N51">
        <v>12</v>
      </c>
      <c r="Q51">
        <v>1</v>
      </c>
      <c r="R51">
        <v>1</v>
      </c>
      <c r="AO51" t="s">
        <v>1432</v>
      </c>
      <c r="AQ51" s="7" t="s">
        <v>577</v>
      </c>
    </row>
    <row r="52" spans="1:43" ht="14.25">
      <c r="A52">
        <v>50</v>
      </c>
      <c r="B52">
        <v>1</v>
      </c>
      <c r="C52" t="s">
        <v>49</v>
      </c>
      <c r="D52">
        <v>10</v>
      </c>
      <c r="G52">
        <v>4</v>
      </c>
      <c r="L52">
        <v>2</v>
      </c>
      <c r="N52">
        <v>1</v>
      </c>
      <c r="Q52">
        <v>3</v>
      </c>
      <c r="R52">
        <v>4</v>
      </c>
      <c r="Z52">
        <v>3</v>
      </c>
      <c r="AK52">
        <v>6</v>
      </c>
      <c r="AO52" t="s">
        <v>1432</v>
      </c>
      <c r="AQ52" t="s">
        <v>567</v>
      </c>
    </row>
    <row r="53" spans="1:43">
      <c r="A53">
        <v>51</v>
      </c>
      <c r="B53">
        <v>12</v>
      </c>
      <c r="C53" t="s">
        <v>50</v>
      </c>
      <c r="G53">
        <v>8</v>
      </c>
      <c r="N53">
        <v>12</v>
      </c>
      <c r="Q53">
        <v>4</v>
      </c>
      <c r="R53">
        <v>2</v>
      </c>
      <c r="S53">
        <v>2</v>
      </c>
      <c r="AO53" t="s">
        <v>1432</v>
      </c>
      <c r="AQ53" s="7" t="s">
        <v>577</v>
      </c>
    </row>
    <row r="54" spans="1:43">
      <c r="A54">
        <v>52</v>
      </c>
      <c r="B54">
        <v>7</v>
      </c>
      <c r="C54" t="s">
        <v>51</v>
      </c>
      <c r="E54">
        <v>13</v>
      </c>
      <c r="H54">
        <v>3</v>
      </c>
      <c r="I54">
        <v>2</v>
      </c>
      <c r="N54">
        <v>7</v>
      </c>
      <c r="P54">
        <v>2</v>
      </c>
      <c r="Q54">
        <v>6</v>
      </c>
      <c r="S54">
        <v>10</v>
      </c>
      <c r="T54">
        <v>1</v>
      </c>
      <c r="AG54">
        <v>8</v>
      </c>
      <c r="AO54" t="s">
        <v>1432</v>
      </c>
      <c r="AQ54" s="7" t="s">
        <v>572</v>
      </c>
    </row>
    <row r="55" spans="1:43">
      <c r="A55">
        <v>53</v>
      </c>
      <c r="B55">
        <v>5</v>
      </c>
      <c r="C55" t="s">
        <v>52</v>
      </c>
      <c r="G55">
        <v>12</v>
      </c>
      <c r="N55">
        <v>5</v>
      </c>
      <c r="P55">
        <v>2</v>
      </c>
      <c r="Q55">
        <v>2</v>
      </c>
      <c r="S55">
        <v>10</v>
      </c>
      <c r="T55">
        <v>1</v>
      </c>
      <c r="AG55">
        <v>8</v>
      </c>
      <c r="AO55" t="s">
        <v>1432</v>
      </c>
      <c r="AQ55" s="7" t="s">
        <v>573</v>
      </c>
    </row>
    <row r="56" spans="1:43">
      <c r="A56">
        <v>54</v>
      </c>
      <c r="B56">
        <v>8</v>
      </c>
      <c r="C56" t="s">
        <v>53</v>
      </c>
      <c r="I56">
        <v>9</v>
      </c>
      <c r="J56">
        <v>2</v>
      </c>
      <c r="N56">
        <v>8</v>
      </c>
      <c r="P56">
        <v>2</v>
      </c>
      <c r="S56">
        <v>11</v>
      </c>
      <c r="T56">
        <v>1</v>
      </c>
      <c r="AD56">
        <v>1</v>
      </c>
      <c r="AG56">
        <v>9</v>
      </c>
      <c r="AO56" t="s">
        <v>1432</v>
      </c>
      <c r="AQ56" s="7" t="s">
        <v>574</v>
      </c>
    </row>
    <row r="57" spans="1:43">
      <c r="A57">
        <v>55</v>
      </c>
      <c r="B57">
        <v>5</v>
      </c>
      <c r="C57" t="s">
        <v>54</v>
      </c>
      <c r="G57">
        <v>9</v>
      </c>
      <c r="K57">
        <v>3</v>
      </c>
      <c r="N57">
        <v>5</v>
      </c>
      <c r="P57">
        <v>2</v>
      </c>
      <c r="Q57">
        <v>2</v>
      </c>
      <c r="S57">
        <v>7</v>
      </c>
      <c r="T57">
        <v>1</v>
      </c>
      <c r="AG57">
        <v>6</v>
      </c>
      <c r="AO57" t="s">
        <v>1432</v>
      </c>
      <c r="AQ57" s="7" t="s">
        <v>573</v>
      </c>
    </row>
    <row r="58" spans="1:43">
      <c r="A58">
        <v>56</v>
      </c>
      <c r="B58">
        <v>5</v>
      </c>
      <c r="C58" t="s">
        <v>55</v>
      </c>
      <c r="G58">
        <v>15</v>
      </c>
      <c r="N58">
        <v>5</v>
      </c>
      <c r="P58">
        <v>2</v>
      </c>
      <c r="Q58">
        <v>3</v>
      </c>
      <c r="S58">
        <v>28</v>
      </c>
      <c r="T58">
        <v>1</v>
      </c>
      <c r="AG58">
        <v>9</v>
      </c>
      <c r="AO58" t="s">
        <v>1432</v>
      </c>
      <c r="AQ58" s="7" t="s">
        <v>573</v>
      </c>
    </row>
    <row r="59" spans="1:43">
      <c r="A59">
        <v>57</v>
      </c>
      <c r="B59">
        <v>6</v>
      </c>
      <c r="C59" t="s">
        <v>56</v>
      </c>
      <c r="F59">
        <v>10</v>
      </c>
      <c r="H59">
        <v>3</v>
      </c>
      <c r="I59">
        <v>1</v>
      </c>
      <c r="N59">
        <v>6</v>
      </c>
      <c r="P59">
        <v>2</v>
      </c>
      <c r="Q59">
        <v>3</v>
      </c>
      <c r="S59">
        <v>4</v>
      </c>
      <c r="T59">
        <v>1</v>
      </c>
      <c r="AG59">
        <v>6</v>
      </c>
      <c r="AO59" t="s">
        <v>1432</v>
      </c>
      <c r="AQ59" s="7" t="s">
        <v>574</v>
      </c>
    </row>
    <row r="60" spans="1:43">
      <c r="A60">
        <v>58</v>
      </c>
      <c r="B60">
        <v>3</v>
      </c>
      <c r="C60" t="s">
        <v>57</v>
      </c>
      <c r="E60">
        <v>12</v>
      </c>
      <c r="J60">
        <v>1</v>
      </c>
      <c r="L60">
        <v>1</v>
      </c>
      <c r="N60">
        <v>3</v>
      </c>
      <c r="P60">
        <v>2</v>
      </c>
      <c r="Q60">
        <v>3</v>
      </c>
      <c r="R60">
        <v>2</v>
      </c>
      <c r="AO60" t="s">
        <v>1432</v>
      </c>
      <c r="AQ60" s="7" t="s">
        <v>571</v>
      </c>
    </row>
    <row r="61" spans="1:43">
      <c r="A61">
        <v>59</v>
      </c>
      <c r="B61">
        <v>8</v>
      </c>
      <c r="C61" t="s">
        <v>58</v>
      </c>
      <c r="F61">
        <v>1</v>
      </c>
      <c r="G61">
        <v>2</v>
      </c>
      <c r="H61">
        <v>4</v>
      </c>
      <c r="I61">
        <v>6</v>
      </c>
      <c r="J61">
        <v>2</v>
      </c>
      <c r="N61">
        <v>8</v>
      </c>
      <c r="P61">
        <v>1</v>
      </c>
      <c r="Q61">
        <v>1</v>
      </c>
      <c r="S61">
        <v>2</v>
      </c>
      <c r="T61">
        <v>2</v>
      </c>
      <c r="AG61">
        <v>6</v>
      </c>
      <c r="AO61" t="s">
        <v>1432</v>
      </c>
      <c r="AQ61" s="7" t="s">
        <v>585</v>
      </c>
    </row>
    <row r="62" spans="1:43">
      <c r="A62">
        <v>60</v>
      </c>
      <c r="B62">
        <v>6</v>
      </c>
      <c r="C62" t="s">
        <v>59</v>
      </c>
      <c r="F62">
        <v>4</v>
      </c>
      <c r="G62">
        <v>4</v>
      </c>
      <c r="H62">
        <v>3</v>
      </c>
      <c r="N62">
        <v>6</v>
      </c>
      <c r="P62">
        <v>1</v>
      </c>
      <c r="Q62">
        <v>3</v>
      </c>
      <c r="S62">
        <v>3</v>
      </c>
      <c r="T62">
        <v>1</v>
      </c>
      <c r="AD62">
        <v>5</v>
      </c>
      <c r="AG62">
        <v>5</v>
      </c>
      <c r="AO62" t="s">
        <v>1432</v>
      </c>
      <c r="AQ62" s="7" t="s">
        <v>574</v>
      </c>
    </row>
    <row r="63" spans="1:43">
      <c r="A63">
        <v>61</v>
      </c>
      <c r="B63">
        <v>8</v>
      </c>
      <c r="C63" t="s">
        <v>60</v>
      </c>
      <c r="G63">
        <v>1</v>
      </c>
      <c r="I63">
        <v>7</v>
      </c>
      <c r="J63">
        <v>3</v>
      </c>
      <c r="N63">
        <v>8</v>
      </c>
      <c r="P63">
        <v>3</v>
      </c>
      <c r="Q63">
        <v>1</v>
      </c>
      <c r="S63">
        <v>13</v>
      </c>
      <c r="T63">
        <v>1</v>
      </c>
      <c r="AG63">
        <v>6</v>
      </c>
      <c r="AO63" t="s">
        <v>1432</v>
      </c>
      <c r="AQ63" s="7" t="s">
        <v>574</v>
      </c>
    </row>
    <row r="64" spans="1:43">
      <c r="A64">
        <v>62</v>
      </c>
      <c r="B64">
        <v>6</v>
      </c>
      <c r="C64" t="s">
        <v>61</v>
      </c>
      <c r="F64">
        <v>11</v>
      </c>
      <c r="H64">
        <v>6</v>
      </c>
      <c r="I64">
        <v>6</v>
      </c>
      <c r="J64">
        <v>1</v>
      </c>
      <c r="N64">
        <v>6</v>
      </c>
      <c r="P64">
        <v>4</v>
      </c>
      <c r="Q64">
        <v>5</v>
      </c>
      <c r="S64">
        <v>20</v>
      </c>
      <c r="T64">
        <v>2</v>
      </c>
      <c r="AG64">
        <v>10</v>
      </c>
      <c r="AO64" t="s">
        <v>1432</v>
      </c>
      <c r="AQ64" t="s">
        <v>576</v>
      </c>
    </row>
    <row r="65" spans="1:43" ht="14.25">
      <c r="A65">
        <v>63</v>
      </c>
      <c r="B65">
        <v>1</v>
      </c>
      <c r="C65" t="s">
        <v>62</v>
      </c>
      <c r="D65">
        <v>3</v>
      </c>
      <c r="G65">
        <v>2</v>
      </c>
      <c r="L65">
        <v>1</v>
      </c>
      <c r="N65">
        <v>1</v>
      </c>
      <c r="Q65">
        <v>1</v>
      </c>
      <c r="R65">
        <v>2</v>
      </c>
      <c r="Z65">
        <v>1</v>
      </c>
      <c r="AK65">
        <v>1</v>
      </c>
      <c r="AO65" t="s">
        <v>1432</v>
      </c>
      <c r="AQ65" s="7" t="s">
        <v>565</v>
      </c>
    </row>
    <row r="66" spans="1:43">
      <c r="A66">
        <v>64</v>
      </c>
      <c r="B66">
        <v>6</v>
      </c>
      <c r="C66" t="s">
        <v>63</v>
      </c>
      <c r="F66">
        <v>9</v>
      </c>
      <c r="H66">
        <v>5</v>
      </c>
      <c r="J66">
        <v>1</v>
      </c>
      <c r="N66">
        <v>6</v>
      </c>
      <c r="P66">
        <v>2</v>
      </c>
      <c r="Q66">
        <v>4</v>
      </c>
      <c r="S66">
        <v>5</v>
      </c>
      <c r="T66">
        <v>2</v>
      </c>
      <c r="AG66">
        <v>6</v>
      </c>
      <c r="AO66" t="s">
        <v>1421</v>
      </c>
      <c r="AQ66" s="7" t="s">
        <v>574</v>
      </c>
    </row>
    <row r="67" spans="1:43" ht="14.25">
      <c r="A67">
        <v>65</v>
      </c>
      <c r="B67">
        <v>1</v>
      </c>
      <c r="C67" t="s">
        <v>64</v>
      </c>
      <c r="D67">
        <v>4</v>
      </c>
      <c r="G67">
        <v>3</v>
      </c>
      <c r="J67">
        <v>3</v>
      </c>
      <c r="L67">
        <v>2</v>
      </c>
      <c r="N67">
        <v>1</v>
      </c>
      <c r="Q67">
        <v>2</v>
      </c>
      <c r="R67">
        <v>3</v>
      </c>
      <c r="Z67">
        <v>2</v>
      </c>
      <c r="AK67">
        <v>3</v>
      </c>
      <c r="AO67" t="s">
        <v>1432</v>
      </c>
      <c r="AQ67" t="s">
        <v>567</v>
      </c>
    </row>
    <row r="68" spans="1:43">
      <c r="A68">
        <v>66</v>
      </c>
      <c r="B68">
        <v>2</v>
      </c>
      <c r="C68" t="s">
        <v>65</v>
      </c>
      <c r="D68">
        <v>1</v>
      </c>
      <c r="G68">
        <v>6</v>
      </c>
      <c r="J68">
        <v>2</v>
      </c>
      <c r="L68">
        <v>1</v>
      </c>
      <c r="N68">
        <v>2</v>
      </c>
      <c r="Q68">
        <v>1</v>
      </c>
      <c r="R68">
        <v>2</v>
      </c>
      <c r="Z68">
        <v>1</v>
      </c>
      <c r="AA68">
        <v>4</v>
      </c>
      <c r="AB68">
        <v>35</v>
      </c>
      <c r="AK68">
        <v>1</v>
      </c>
      <c r="AO68" t="s">
        <v>1432</v>
      </c>
      <c r="AP68" t="s">
        <v>559</v>
      </c>
      <c r="AQ68" s="8" t="s">
        <v>570</v>
      </c>
    </row>
    <row r="69" spans="1:43">
      <c r="A69">
        <v>67</v>
      </c>
      <c r="B69">
        <v>3</v>
      </c>
      <c r="C69" t="s">
        <v>66</v>
      </c>
      <c r="E69">
        <v>15</v>
      </c>
      <c r="J69">
        <v>2</v>
      </c>
      <c r="L69">
        <v>1</v>
      </c>
      <c r="N69">
        <v>3</v>
      </c>
      <c r="P69">
        <v>2</v>
      </c>
      <c r="Q69">
        <v>2</v>
      </c>
      <c r="R69">
        <v>2</v>
      </c>
      <c r="AO69" t="s">
        <v>1432</v>
      </c>
      <c r="AQ69" s="7" t="s">
        <v>571</v>
      </c>
    </row>
    <row r="70" spans="1:43" ht="14.25">
      <c r="A70">
        <v>68</v>
      </c>
      <c r="B70">
        <v>4</v>
      </c>
      <c r="C70" t="s">
        <v>67</v>
      </c>
      <c r="N70">
        <v>4</v>
      </c>
      <c r="P70">
        <v>1</v>
      </c>
      <c r="Q70">
        <v>1</v>
      </c>
      <c r="S70">
        <v>1</v>
      </c>
      <c r="W70">
        <v>5</v>
      </c>
      <c r="AO70" t="s">
        <v>1432</v>
      </c>
      <c r="AQ70" s="7" t="s">
        <v>586</v>
      </c>
    </row>
    <row r="71" spans="1:43" ht="14.25">
      <c r="A71">
        <v>69</v>
      </c>
      <c r="B71">
        <v>9</v>
      </c>
      <c r="C71" s="4" t="s">
        <v>1433</v>
      </c>
      <c r="H71">
        <v>9</v>
      </c>
      <c r="J71">
        <v>1</v>
      </c>
      <c r="N71">
        <v>9</v>
      </c>
      <c r="P71">
        <v>1</v>
      </c>
      <c r="Q71">
        <v>1</v>
      </c>
      <c r="S71">
        <v>4</v>
      </c>
      <c r="T71">
        <v>1</v>
      </c>
      <c r="AG71">
        <v>5</v>
      </c>
      <c r="AO71" t="s">
        <v>1432</v>
      </c>
      <c r="AQ71" s="7" t="s">
        <v>587</v>
      </c>
    </row>
    <row r="72" spans="1:43">
      <c r="A72">
        <v>70</v>
      </c>
      <c r="B72">
        <v>9</v>
      </c>
      <c r="C72" t="s">
        <v>68</v>
      </c>
      <c r="H72">
        <v>7</v>
      </c>
      <c r="I72">
        <v>1</v>
      </c>
      <c r="J72">
        <v>2</v>
      </c>
      <c r="N72">
        <v>9</v>
      </c>
      <c r="P72">
        <v>1</v>
      </c>
      <c r="Q72">
        <v>1</v>
      </c>
      <c r="S72">
        <v>2</v>
      </c>
      <c r="T72">
        <v>1</v>
      </c>
      <c r="AG72">
        <v>5</v>
      </c>
      <c r="AO72" t="s">
        <v>1432</v>
      </c>
      <c r="AQ72" s="7" t="s">
        <v>588</v>
      </c>
    </row>
    <row r="73" spans="1:43">
      <c r="A73">
        <v>71</v>
      </c>
      <c r="B73">
        <v>2</v>
      </c>
      <c r="C73" t="s">
        <v>69</v>
      </c>
      <c r="D73">
        <v>1</v>
      </c>
      <c r="G73">
        <v>7</v>
      </c>
      <c r="J73">
        <v>1</v>
      </c>
      <c r="L73">
        <v>1</v>
      </c>
      <c r="N73">
        <v>2</v>
      </c>
      <c r="Q73">
        <v>1</v>
      </c>
      <c r="R73">
        <v>3</v>
      </c>
      <c r="Z73">
        <v>1</v>
      </c>
      <c r="AA73">
        <v>4</v>
      </c>
      <c r="AB73">
        <v>35</v>
      </c>
      <c r="AK73">
        <v>1</v>
      </c>
      <c r="AO73" t="s">
        <v>1432</v>
      </c>
      <c r="AQ73" s="8" t="s">
        <v>570</v>
      </c>
    </row>
    <row r="74" spans="1:43">
      <c r="A74">
        <v>72</v>
      </c>
      <c r="B74">
        <v>17</v>
      </c>
      <c r="C74" t="s">
        <v>70</v>
      </c>
      <c r="K74">
        <v>-2</v>
      </c>
      <c r="M74">
        <v>7</v>
      </c>
      <c r="N74">
        <v>17</v>
      </c>
      <c r="R74">
        <v>12</v>
      </c>
      <c r="AQ74" s="7" t="s">
        <v>589</v>
      </c>
    </row>
    <row r="75" spans="1:43">
      <c r="A75">
        <v>73</v>
      </c>
      <c r="B75">
        <v>17</v>
      </c>
      <c r="C75" t="s">
        <v>71</v>
      </c>
      <c r="K75">
        <v>-3</v>
      </c>
      <c r="M75">
        <v>9</v>
      </c>
      <c r="N75">
        <v>17</v>
      </c>
      <c r="R75">
        <v>30</v>
      </c>
      <c r="AQ75" s="7" t="s">
        <v>590</v>
      </c>
    </row>
    <row r="76" spans="1:43" ht="14.25">
      <c r="A76">
        <v>74</v>
      </c>
      <c r="B76">
        <v>18</v>
      </c>
      <c r="C76" t="s">
        <v>72</v>
      </c>
      <c r="I76">
        <v>2</v>
      </c>
      <c r="N76">
        <v>18</v>
      </c>
      <c r="R76">
        <v>1</v>
      </c>
      <c r="S76">
        <v>1</v>
      </c>
      <c r="AE76">
        <v>1</v>
      </c>
      <c r="AQ76" s="7" t="s">
        <v>591</v>
      </c>
    </row>
    <row r="77" spans="1:43" ht="14.25">
      <c r="A77">
        <v>75</v>
      </c>
      <c r="B77">
        <v>18</v>
      </c>
      <c r="C77" t="s">
        <v>73</v>
      </c>
      <c r="N77">
        <v>18</v>
      </c>
      <c r="R77">
        <v>1</v>
      </c>
      <c r="AQ77" s="7" t="s">
        <v>592</v>
      </c>
    </row>
    <row r="78" spans="1:43" ht="14.25">
      <c r="A78">
        <v>76</v>
      </c>
      <c r="B78">
        <v>1</v>
      </c>
      <c r="C78" t="s">
        <v>74</v>
      </c>
      <c r="D78">
        <v>16</v>
      </c>
      <c r="G78">
        <v>1</v>
      </c>
      <c r="J78">
        <v>1</v>
      </c>
      <c r="L78">
        <v>3</v>
      </c>
      <c r="N78">
        <v>1</v>
      </c>
      <c r="Q78">
        <v>11</v>
      </c>
      <c r="R78">
        <v>18</v>
      </c>
      <c r="Z78">
        <v>4</v>
      </c>
      <c r="AK78">
        <v>10</v>
      </c>
      <c r="AO78" t="s">
        <v>1421</v>
      </c>
      <c r="AQ78" s="7" t="s">
        <v>593</v>
      </c>
    </row>
    <row r="79" spans="1:43">
      <c r="A79">
        <v>77</v>
      </c>
      <c r="B79">
        <v>2</v>
      </c>
      <c r="C79" t="s">
        <v>75</v>
      </c>
      <c r="D79">
        <v>4</v>
      </c>
      <c r="G79">
        <v>2</v>
      </c>
      <c r="J79">
        <v>2</v>
      </c>
      <c r="L79">
        <v>2</v>
      </c>
      <c r="N79">
        <v>2</v>
      </c>
      <c r="Q79">
        <v>2</v>
      </c>
      <c r="R79">
        <v>4</v>
      </c>
      <c r="Z79">
        <v>2</v>
      </c>
      <c r="AK79">
        <v>3</v>
      </c>
      <c r="AO79" t="s">
        <v>1421</v>
      </c>
      <c r="AQ79" s="8" t="s">
        <v>570</v>
      </c>
    </row>
    <row r="80" spans="1:43" ht="14.25">
      <c r="A80">
        <v>78</v>
      </c>
      <c r="B80">
        <v>1</v>
      </c>
      <c r="C80" t="s">
        <v>76</v>
      </c>
      <c r="D80">
        <v>2</v>
      </c>
      <c r="J80">
        <v>1</v>
      </c>
      <c r="L80">
        <v>1</v>
      </c>
      <c r="N80">
        <v>1</v>
      </c>
      <c r="Q80">
        <v>1</v>
      </c>
      <c r="R80">
        <v>1</v>
      </c>
      <c r="Z80">
        <v>1</v>
      </c>
      <c r="AK80">
        <v>1</v>
      </c>
      <c r="AO80" t="s">
        <v>1421</v>
      </c>
      <c r="AQ80" s="7" t="s">
        <v>565</v>
      </c>
    </row>
    <row r="81" spans="1:43">
      <c r="A81">
        <v>79</v>
      </c>
      <c r="B81">
        <v>6</v>
      </c>
      <c r="C81" t="s">
        <v>77</v>
      </c>
      <c r="F81">
        <v>6</v>
      </c>
      <c r="G81">
        <v>2</v>
      </c>
      <c r="H81">
        <v>5</v>
      </c>
      <c r="I81">
        <v>6</v>
      </c>
      <c r="J81">
        <v>1</v>
      </c>
      <c r="N81">
        <v>6</v>
      </c>
      <c r="P81">
        <v>2</v>
      </c>
      <c r="Q81">
        <v>3</v>
      </c>
      <c r="S81">
        <v>5</v>
      </c>
      <c r="T81">
        <v>2</v>
      </c>
      <c r="AG81">
        <v>6</v>
      </c>
      <c r="AO81" t="s">
        <v>1432</v>
      </c>
      <c r="AQ81" t="s">
        <v>576</v>
      </c>
    </row>
    <row r="82" spans="1:43">
      <c r="A82">
        <v>80</v>
      </c>
      <c r="B82">
        <v>6</v>
      </c>
      <c r="C82" t="s">
        <v>78</v>
      </c>
      <c r="F82">
        <v>7</v>
      </c>
      <c r="G82">
        <v>3</v>
      </c>
      <c r="H82">
        <v>5</v>
      </c>
      <c r="I82">
        <v>6</v>
      </c>
      <c r="J82">
        <v>1</v>
      </c>
      <c r="N82">
        <v>6</v>
      </c>
      <c r="P82">
        <v>2</v>
      </c>
      <c r="Q82">
        <v>3</v>
      </c>
      <c r="S82">
        <v>6</v>
      </c>
      <c r="T82">
        <v>2</v>
      </c>
      <c r="AG82">
        <v>7</v>
      </c>
      <c r="AO82" t="s">
        <v>1432</v>
      </c>
      <c r="AQ82" t="s">
        <v>576</v>
      </c>
    </row>
    <row r="83" spans="1:43">
      <c r="A83">
        <v>81</v>
      </c>
      <c r="B83">
        <v>6</v>
      </c>
      <c r="C83" t="s">
        <v>79</v>
      </c>
      <c r="F83">
        <v>9</v>
      </c>
      <c r="G83">
        <v>3</v>
      </c>
      <c r="H83">
        <v>6</v>
      </c>
      <c r="I83">
        <v>7</v>
      </c>
      <c r="J83">
        <v>1</v>
      </c>
      <c r="N83">
        <v>6</v>
      </c>
      <c r="P83">
        <v>2</v>
      </c>
      <c r="Q83">
        <v>3</v>
      </c>
      <c r="S83">
        <v>6</v>
      </c>
      <c r="T83">
        <v>2</v>
      </c>
      <c r="AG83">
        <v>7</v>
      </c>
      <c r="AO83" t="s">
        <v>1432</v>
      </c>
      <c r="AQ83" t="s">
        <v>576</v>
      </c>
    </row>
    <row r="84" spans="1:43">
      <c r="A84">
        <v>82</v>
      </c>
      <c r="B84">
        <v>7</v>
      </c>
      <c r="C84" t="s">
        <v>80</v>
      </c>
      <c r="E84">
        <v>6</v>
      </c>
      <c r="H84">
        <v>7</v>
      </c>
      <c r="I84">
        <v>2</v>
      </c>
      <c r="N84">
        <v>7</v>
      </c>
      <c r="P84">
        <v>2</v>
      </c>
      <c r="Q84">
        <v>3</v>
      </c>
      <c r="S84">
        <v>4</v>
      </c>
      <c r="T84">
        <v>1</v>
      </c>
      <c r="AG84">
        <v>5</v>
      </c>
      <c r="AO84" t="s">
        <v>1432</v>
      </c>
      <c r="AQ84" s="7" t="s">
        <v>572</v>
      </c>
    </row>
    <row r="85" spans="1:43">
      <c r="A85">
        <v>83</v>
      </c>
      <c r="B85">
        <v>7</v>
      </c>
      <c r="C85" t="s">
        <v>81</v>
      </c>
      <c r="E85">
        <v>9</v>
      </c>
      <c r="H85">
        <v>8</v>
      </c>
      <c r="I85">
        <v>2</v>
      </c>
      <c r="N85">
        <v>7</v>
      </c>
      <c r="P85">
        <v>2</v>
      </c>
      <c r="Q85">
        <v>4</v>
      </c>
      <c r="S85">
        <v>5</v>
      </c>
      <c r="T85">
        <v>1</v>
      </c>
      <c r="AG85">
        <v>6</v>
      </c>
      <c r="AO85" t="s">
        <v>1432</v>
      </c>
      <c r="AQ85" s="7" t="s">
        <v>572</v>
      </c>
    </row>
    <row r="86" spans="1:43">
      <c r="A86">
        <v>84</v>
      </c>
      <c r="B86">
        <v>12</v>
      </c>
      <c r="C86" t="s">
        <v>82</v>
      </c>
      <c r="G86">
        <v>7</v>
      </c>
      <c r="J86">
        <v>1</v>
      </c>
      <c r="N86">
        <v>12</v>
      </c>
      <c r="Q86">
        <v>3</v>
      </c>
      <c r="R86">
        <v>1</v>
      </c>
      <c r="S86">
        <v>1</v>
      </c>
      <c r="AO86" t="s">
        <v>1421</v>
      </c>
      <c r="AQ86" s="7" t="s">
        <v>577</v>
      </c>
    </row>
    <row r="87" spans="1:43">
      <c r="A87">
        <v>85</v>
      </c>
      <c r="B87">
        <v>12</v>
      </c>
      <c r="C87" t="s">
        <v>83</v>
      </c>
      <c r="D87">
        <v>1</v>
      </c>
      <c r="G87">
        <v>8</v>
      </c>
      <c r="J87">
        <v>1</v>
      </c>
      <c r="N87">
        <v>12</v>
      </c>
      <c r="Q87">
        <v>3</v>
      </c>
      <c r="R87">
        <v>1</v>
      </c>
      <c r="S87">
        <v>1</v>
      </c>
      <c r="AO87" t="s">
        <v>1421</v>
      </c>
      <c r="AQ87" s="7" t="s">
        <v>577</v>
      </c>
    </row>
    <row r="88" spans="1:43">
      <c r="A88">
        <v>86</v>
      </c>
      <c r="B88">
        <v>18</v>
      </c>
      <c r="C88" t="s">
        <v>84</v>
      </c>
      <c r="N88">
        <v>18</v>
      </c>
      <c r="P88">
        <v>10</v>
      </c>
      <c r="Q88">
        <v>5</v>
      </c>
      <c r="R88">
        <v>20</v>
      </c>
      <c r="S88">
        <v>10</v>
      </c>
      <c r="AP88" t="s">
        <v>554</v>
      </c>
      <c r="AQ88" s="7" t="s">
        <v>594</v>
      </c>
    </row>
    <row r="89" spans="1:43">
      <c r="A89">
        <v>87</v>
      </c>
      <c r="B89">
        <v>11</v>
      </c>
      <c r="C89" t="s">
        <v>85</v>
      </c>
      <c r="K89">
        <v>13</v>
      </c>
      <c r="N89">
        <v>11</v>
      </c>
      <c r="P89">
        <v>20</v>
      </c>
      <c r="R89">
        <v>25</v>
      </c>
      <c r="AN89">
        <v>6</v>
      </c>
      <c r="AO89" t="s">
        <v>1432</v>
      </c>
      <c r="AQ89" s="7" t="s">
        <v>579</v>
      </c>
    </row>
    <row r="90" spans="1:43">
      <c r="A90">
        <v>88</v>
      </c>
      <c r="B90">
        <v>10</v>
      </c>
      <c r="C90" t="s">
        <v>86</v>
      </c>
      <c r="H90">
        <v>2</v>
      </c>
      <c r="I90">
        <v>5</v>
      </c>
      <c r="J90">
        <v>8</v>
      </c>
      <c r="N90">
        <v>10</v>
      </c>
      <c r="R90">
        <v>16</v>
      </c>
      <c r="S90">
        <v>16</v>
      </c>
      <c r="AO90" t="s">
        <v>1432</v>
      </c>
      <c r="AQ90" s="7" t="s">
        <v>577</v>
      </c>
    </row>
    <row r="91" spans="1:43">
      <c r="A91">
        <v>89</v>
      </c>
      <c r="B91">
        <v>10</v>
      </c>
      <c r="C91" t="s">
        <v>87</v>
      </c>
      <c r="G91">
        <v>5</v>
      </c>
      <c r="I91">
        <v>6</v>
      </c>
      <c r="J91">
        <v>3</v>
      </c>
      <c r="K91">
        <v>1</v>
      </c>
      <c r="N91">
        <v>10</v>
      </c>
      <c r="R91">
        <v>21</v>
      </c>
      <c r="S91">
        <v>23</v>
      </c>
      <c r="AO91" t="s">
        <v>1432</v>
      </c>
      <c r="AQ91" s="7" t="s">
        <v>578</v>
      </c>
    </row>
    <row r="92" spans="1:43" ht="14.25">
      <c r="A92">
        <v>90</v>
      </c>
      <c r="B92">
        <v>1</v>
      </c>
      <c r="C92" t="s">
        <v>88</v>
      </c>
      <c r="D92">
        <v>9</v>
      </c>
      <c r="G92">
        <v>3</v>
      </c>
      <c r="J92">
        <v>1</v>
      </c>
      <c r="L92">
        <v>2</v>
      </c>
      <c r="N92">
        <v>1</v>
      </c>
      <c r="Q92">
        <v>3</v>
      </c>
      <c r="R92">
        <v>4</v>
      </c>
      <c r="Z92">
        <v>3</v>
      </c>
      <c r="AK92">
        <v>6</v>
      </c>
      <c r="AO92" t="s">
        <v>1432</v>
      </c>
      <c r="AQ92" t="s">
        <v>567</v>
      </c>
    </row>
    <row r="93" spans="1:43" ht="14.25">
      <c r="A93">
        <v>91</v>
      </c>
      <c r="B93">
        <v>1</v>
      </c>
      <c r="C93" t="s">
        <v>89</v>
      </c>
      <c r="D93">
        <v>2</v>
      </c>
      <c r="G93">
        <v>5</v>
      </c>
      <c r="H93">
        <v>1</v>
      </c>
      <c r="J93">
        <v>1</v>
      </c>
      <c r="K93">
        <v>1</v>
      </c>
      <c r="L93">
        <v>1</v>
      </c>
      <c r="N93">
        <v>1</v>
      </c>
      <c r="Q93">
        <v>2</v>
      </c>
      <c r="R93">
        <v>2</v>
      </c>
      <c r="Z93">
        <v>1</v>
      </c>
      <c r="AA93">
        <v>4</v>
      </c>
      <c r="AB93">
        <v>35</v>
      </c>
      <c r="AK93">
        <v>1</v>
      </c>
      <c r="AO93" t="s">
        <v>1432</v>
      </c>
      <c r="AQ93" s="7" t="s">
        <v>565</v>
      </c>
    </row>
    <row r="94" spans="1:43">
      <c r="A94">
        <v>92</v>
      </c>
      <c r="B94">
        <v>12</v>
      </c>
      <c r="C94" t="s">
        <v>90</v>
      </c>
      <c r="G94">
        <v>6</v>
      </c>
      <c r="K94">
        <v>1</v>
      </c>
      <c r="N94">
        <v>12</v>
      </c>
      <c r="Q94">
        <v>2</v>
      </c>
      <c r="R94">
        <v>1</v>
      </c>
      <c r="AO94" t="s">
        <v>1432</v>
      </c>
      <c r="AQ94" s="7" t="s">
        <v>577</v>
      </c>
    </row>
    <row r="95" spans="1:43">
      <c r="A95">
        <v>93</v>
      </c>
      <c r="B95">
        <v>7</v>
      </c>
      <c r="C95" t="s">
        <v>91</v>
      </c>
      <c r="E95">
        <v>11</v>
      </c>
      <c r="G95">
        <v>1</v>
      </c>
      <c r="H95">
        <v>5</v>
      </c>
      <c r="I95">
        <v>4</v>
      </c>
      <c r="J95">
        <v>3</v>
      </c>
      <c r="N95">
        <v>7</v>
      </c>
      <c r="P95">
        <v>1</v>
      </c>
      <c r="Q95">
        <v>1</v>
      </c>
      <c r="S95">
        <v>2</v>
      </c>
      <c r="T95">
        <v>1</v>
      </c>
      <c r="AG95">
        <v>5</v>
      </c>
      <c r="AO95" t="s">
        <v>1432</v>
      </c>
      <c r="AQ95" s="7" t="s">
        <v>572</v>
      </c>
    </row>
    <row r="96" spans="1:43">
      <c r="A96">
        <v>94</v>
      </c>
      <c r="B96">
        <v>7</v>
      </c>
      <c r="C96" t="s">
        <v>92</v>
      </c>
      <c r="E96">
        <v>14</v>
      </c>
      <c r="G96">
        <v>1</v>
      </c>
      <c r="H96">
        <v>6</v>
      </c>
      <c r="I96">
        <v>5</v>
      </c>
      <c r="J96">
        <v>3</v>
      </c>
      <c r="N96">
        <v>7</v>
      </c>
      <c r="P96">
        <v>2</v>
      </c>
      <c r="Q96">
        <v>4</v>
      </c>
      <c r="S96">
        <v>4</v>
      </c>
      <c r="T96">
        <v>1</v>
      </c>
      <c r="AG96">
        <v>6</v>
      </c>
      <c r="AO96" t="s">
        <v>1432</v>
      </c>
      <c r="AQ96" s="7" t="s">
        <v>572</v>
      </c>
    </row>
    <row r="97" spans="1:43">
      <c r="A97">
        <v>95</v>
      </c>
      <c r="B97">
        <v>3</v>
      </c>
      <c r="C97" t="s">
        <v>93</v>
      </c>
      <c r="E97">
        <v>16</v>
      </c>
      <c r="J97">
        <v>3</v>
      </c>
      <c r="L97">
        <v>1</v>
      </c>
      <c r="N97">
        <v>3</v>
      </c>
      <c r="P97">
        <v>2</v>
      </c>
      <c r="Q97">
        <v>4</v>
      </c>
      <c r="R97">
        <v>2</v>
      </c>
      <c r="AJ97">
        <v>1</v>
      </c>
      <c r="AO97" t="s">
        <v>1432</v>
      </c>
      <c r="AQ97" s="7" t="s">
        <v>595</v>
      </c>
    </row>
    <row r="98" spans="1:43">
      <c r="A98">
        <v>96</v>
      </c>
      <c r="B98">
        <v>5</v>
      </c>
      <c r="C98" t="s">
        <v>94</v>
      </c>
      <c r="G98">
        <v>8</v>
      </c>
      <c r="I98">
        <v>1</v>
      </c>
      <c r="J98">
        <v>2</v>
      </c>
      <c r="K98">
        <v>2</v>
      </c>
      <c r="N98">
        <v>5</v>
      </c>
      <c r="P98">
        <v>1</v>
      </c>
      <c r="Q98">
        <v>1</v>
      </c>
      <c r="S98">
        <v>2</v>
      </c>
      <c r="T98">
        <v>1</v>
      </c>
      <c r="AG98">
        <v>4</v>
      </c>
      <c r="AO98" t="s">
        <v>1432</v>
      </c>
      <c r="AQ98" s="7" t="s">
        <v>573</v>
      </c>
    </row>
    <row r="99" spans="1:43">
      <c r="A99">
        <v>97</v>
      </c>
      <c r="B99">
        <v>6</v>
      </c>
      <c r="C99" t="s">
        <v>95</v>
      </c>
      <c r="F99">
        <v>7</v>
      </c>
      <c r="G99">
        <v>1</v>
      </c>
      <c r="H99">
        <v>4</v>
      </c>
      <c r="I99">
        <v>2</v>
      </c>
      <c r="J99">
        <v>2</v>
      </c>
      <c r="N99">
        <v>6</v>
      </c>
      <c r="P99">
        <v>1</v>
      </c>
      <c r="Q99">
        <v>1</v>
      </c>
      <c r="S99">
        <v>2</v>
      </c>
      <c r="T99">
        <v>1</v>
      </c>
      <c r="AG99">
        <v>4</v>
      </c>
      <c r="AO99" t="s">
        <v>1432</v>
      </c>
      <c r="AQ99" s="7" t="s">
        <v>574</v>
      </c>
    </row>
    <row r="100" spans="1:43">
      <c r="A100">
        <v>98</v>
      </c>
      <c r="B100">
        <v>7</v>
      </c>
      <c r="C100" t="s">
        <v>96</v>
      </c>
      <c r="E100">
        <v>8</v>
      </c>
      <c r="H100">
        <v>5</v>
      </c>
      <c r="I100">
        <v>2</v>
      </c>
      <c r="J100">
        <v>2</v>
      </c>
      <c r="N100">
        <v>7</v>
      </c>
      <c r="P100">
        <v>1</v>
      </c>
      <c r="Q100">
        <v>1</v>
      </c>
      <c r="S100">
        <v>2</v>
      </c>
      <c r="T100">
        <v>1</v>
      </c>
      <c r="AG100">
        <v>4</v>
      </c>
      <c r="AO100" t="s">
        <v>1432</v>
      </c>
      <c r="AQ100" s="7" t="s">
        <v>572</v>
      </c>
    </row>
    <row r="101" spans="1:43">
      <c r="A101">
        <v>99</v>
      </c>
      <c r="B101">
        <v>6</v>
      </c>
      <c r="C101" t="s">
        <v>97</v>
      </c>
      <c r="F101">
        <v>10</v>
      </c>
      <c r="H101">
        <v>5</v>
      </c>
      <c r="I101">
        <v>3</v>
      </c>
      <c r="J101">
        <v>4</v>
      </c>
      <c r="N101">
        <v>6</v>
      </c>
      <c r="P101">
        <v>1</v>
      </c>
      <c r="Q101">
        <v>1</v>
      </c>
      <c r="S101">
        <v>2</v>
      </c>
      <c r="T101">
        <v>1</v>
      </c>
      <c r="AG101">
        <v>4</v>
      </c>
      <c r="AO101" t="s">
        <v>1432</v>
      </c>
      <c r="AQ101" s="7" t="s">
        <v>574</v>
      </c>
    </row>
    <row r="102" spans="1:43">
      <c r="A102">
        <v>100</v>
      </c>
      <c r="B102">
        <v>6</v>
      </c>
      <c r="C102" t="s">
        <v>98</v>
      </c>
      <c r="F102">
        <v>13</v>
      </c>
      <c r="G102">
        <v>1</v>
      </c>
      <c r="H102">
        <v>5</v>
      </c>
      <c r="I102">
        <v>4</v>
      </c>
      <c r="J102">
        <v>4</v>
      </c>
      <c r="N102">
        <v>6</v>
      </c>
      <c r="P102">
        <v>2</v>
      </c>
      <c r="Q102">
        <v>3</v>
      </c>
      <c r="S102">
        <v>3</v>
      </c>
      <c r="T102">
        <v>1</v>
      </c>
      <c r="AG102">
        <v>5</v>
      </c>
      <c r="AO102" t="s">
        <v>1432</v>
      </c>
      <c r="AQ102" s="7" t="s">
        <v>574</v>
      </c>
    </row>
    <row r="103" spans="1:43" ht="14.25">
      <c r="A103">
        <v>101</v>
      </c>
      <c r="B103">
        <v>18</v>
      </c>
      <c r="C103" t="s">
        <v>99</v>
      </c>
      <c r="N103">
        <v>18</v>
      </c>
      <c r="Q103">
        <v>2</v>
      </c>
      <c r="R103">
        <v>1</v>
      </c>
      <c r="S103">
        <v>1</v>
      </c>
      <c r="AE103">
        <v>2</v>
      </c>
      <c r="AQ103" s="7" t="s">
        <v>596</v>
      </c>
    </row>
    <row r="104" spans="1:43">
      <c r="A104">
        <v>102</v>
      </c>
      <c r="B104">
        <v>8</v>
      </c>
      <c r="C104" t="s">
        <v>100</v>
      </c>
      <c r="H104">
        <v>1</v>
      </c>
      <c r="I104">
        <v>3</v>
      </c>
      <c r="J104">
        <v>1</v>
      </c>
      <c r="N104">
        <v>8</v>
      </c>
      <c r="P104">
        <v>2</v>
      </c>
      <c r="Q104">
        <v>1</v>
      </c>
      <c r="S104">
        <v>4</v>
      </c>
      <c r="T104">
        <v>2</v>
      </c>
      <c r="AD104">
        <v>2</v>
      </c>
      <c r="AG104">
        <v>8</v>
      </c>
      <c r="AO104" t="s">
        <v>1432</v>
      </c>
      <c r="AQ104" s="7" t="s">
        <v>585</v>
      </c>
    </row>
    <row r="105" spans="1:43" ht="14.25">
      <c r="A105">
        <v>103</v>
      </c>
      <c r="B105">
        <v>1</v>
      </c>
      <c r="C105" t="s">
        <v>101</v>
      </c>
      <c r="D105">
        <v>18</v>
      </c>
      <c r="G105">
        <v>5</v>
      </c>
      <c r="J105">
        <v>2</v>
      </c>
      <c r="L105">
        <v>3</v>
      </c>
      <c r="N105">
        <v>1</v>
      </c>
      <c r="Q105">
        <v>11</v>
      </c>
      <c r="R105">
        <v>18</v>
      </c>
      <c r="Z105">
        <v>4</v>
      </c>
      <c r="AK105">
        <v>10</v>
      </c>
      <c r="AO105" t="s">
        <v>1432</v>
      </c>
      <c r="AQ105" s="7" t="s">
        <v>597</v>
      </c>
    </row>
    <row r="106" spans="1:43" ht="14.25">
      <c r="A106">
        <v>104</v>
      </c>
      <c r="B106">
        <v>1</v>
      </c>
      <c r="C106" t="s">
        <v>102</v>
      </c>
      <c r="D106">
        <v>15</v>
      </c>
      <c r="G106">
        <v>5</v>
      </c>
      <c r="J106">
        <v>1</v>
      </c>
      <c r="K106">
        <v>1</v>
      </c>
      <c r="L106">
        <v>3</v>
      </c>
      <c r="N106">
        <v>1</v>
      </c>
      <c r="Q106">
        <v>10</v>
      </c>
      <c r="R106">
        <v>15</v>
      </c>
      <c r="Z106">
        <v>4</v>
      </c>
      <c r="AK106">
        <v>10</v>
      </c>
      <c r="AO106" t="s">
        <v>1432</v>
      </c>
      <c r="AQ106" s="7" t="s">
        <v>568</v>
      </c>
    </row>
    <row r="107" spans="1:43" ht="14.25">
      <c r="A107">
        <v>105</v>
      </c>
      <c r="B107">
        <v>1</v>
      </c>
      <c r="C107" t="s">
        <v>103</v>
      </c>
      <c r="D107">
        <v>22</v>
      </c>
      <c r="G107">
        <v>5</v>
      </c>
      <c r="J107">
        <v>2</v>
      </c>
      <c r="L107">
        <v>3</v>
      </c>
      <c r="N107">
        <v>1</v>
      </c>
      <c r="Q107">
        <v>14</v>
      </c>
      <c r="R107">
        <v>22</v>
      </c>
      <c r="Z107">
        <v>4</v>
      </c>
      <c r="AK107">
        <v>13</v>
      </c>
      <c r="AO107" t="s">
        <v>1432</v>
      </c>
      <c r="AP107" t="s">
        <v>555</v>
      </c>
      <c r="AQ107" s="7" t="s">
        <v>597</v>
      </c>
    </row>
    <row r="108" spans="1:43">
      <c r="A108">
        <v>106</v>
      </c>
      <c r="B108">
        <v>10</v>
      </c>
      <c r="C108" t="s">
        <v>104</v>
      </c>
      <c r="G108">
        <v>4</v>
      </c>
      <c r="I108">
        <v>4</v>
      </c>
      <c r="J108">
        <v>2</v>
      </c>
      <c r="K108">
        <v>1</v>
      </c>
      <c r="N108">
        <v>10</v>
      </c>
      <c r="R108">
        <v>10</v>
      </c>
      <c r="S108">
        <v>11</v>
      </c>
      <c r="AO108" t="s">
        <v>1432</v>
      </c>
      <c r="AQ108" s="7" t="s">
        <v>577</v>
      </c>
    </row>
    <row r="109" spans="1:43">
      <c r="A109">
        <v>107</v>
      </c>
      <c r="B109">
        <v>18</v>
      </c>
      <c r="C109" t="s">
        <v>105</v>
      </c>
      <c r="G109">
        <v>1</v>
      </c>
      <c r="I109">
        <v>1</v>
      </c>
      <c r="J109">
        <v>1</v>
      </c>
      <c r="K109">
        <v>1</v>
      </c>
      <c r="N109">
        <v>18</v>
      </c>
      <c r="P109">
        <v>1</v>
      </c>
      <c r="Q109">
        <v>1</v>
      </c>
      <c r="R109">
        <v>1</v>
      </c>
      <c r="S109">
        <v>1</v>
      </c>
      <c r="AQ109" s="7" t="s">
        <v>598</v>
      </c>
    </row>
    <row r="110" spans="1:43" ht="14.25">
      <c r="A110">
        <v>108</v>
      </c>
      <c r="B110">
        <v>18</v>
      </c>
      <c r="C110" t="s">
        <v>106</v>
      </c>
      <c r="D110">
        <v>10</v>
      </c>
      <c r="G110">
        <v>1</v>
      </c>
      <c r="I110">
        <v>1</v>
      </c>
      <c r="J110">
        <v>1</v>
      </c>
      <c r="L110">
        <v>3</v>
      </c>
      <c r="N110">
        <v>18</v>
      </c>
      <c r="P110">
        <v>1</v>
      </c>
      <c r="Q110">
        <v>10</v>
      </c>
      <c r="R110">
        <v>1</v>
      </c>
      <c r="S110">
        <v>10</v>
      </c>
      <c r="AQ110" s="7" t="s">
        <v>599</v>
      </c>
    </row>
    <row r="111" spans="1:43">
      <c r="A111">
        <v>109</v>
      </c>
      <c r="B111">
        <v>5</v>
      </c>
      <c r="C111" t="s">
        <v>107</v>
      </c>
      <c r="G111">
        <v>9</v>
      </c>
      <c r="J111">
        <v>1</v>
      </c>
      <c r="K111">
        <v>1</v>
      </c>
      <c r="N111">
        <v>5</v>
      </c>
      <c r="P111">
        <v>1</v>
      </c>
      <c r="Q111">
        <v>2</v>
      </c>
      <c r="S111">
        <v>3</v>
      </c>
      <c r="T111">
        <v>1</v>
      </c>
      <c r="AG111">
        <v>5</v>
      </c>
      <c r="AO111" t="s">
        <v>1432</v>
      </c>
      <c r="AQ111" s="7" t="s">
        <v>573</v>
      </c>
    </row>
    <row r="112" spans="1:43">
      <c r="A112">
        <v>110</v>
      </c>
      <c r="B112">
        <v>5</v>
      </c>
      <c r="C112" t="s">
        <v>108</v>
      </c>
      <c r="G112">
        <v>11</v>
      </c>
      <c r="J112">
        <v>1</v>
      </c>
      <c r="K112">
        <v>2</v>
      </c>
      <c r="N112">
        <v>5</v>
      </c>
      <c r="P112">
        <v>2</v>
      </c>
      <c r="Q112">
        <v>2</v>
      </c>
      <c r="S112">
        <v>9</v>
      </c>
      <c r="T112">
        <v>1</v>
      </c>
      <c r="AG112">
        <v>7</v>
      </c>
      <c r="AO112" t="s">
        <v>1432</v>
      </c>
      <c r="AQ112" s="7" t="s">
        <v>573</v>
      </c>
    </row>
    <row r="113" spans="1:43">
      <c r="A113">
        <v>111</v>
      </c>
      <c r="B113">
        <v>6</v>
      </c>
      <c r="C113" t="s">
        <v>109</v>
      </c>
      <c r="F113">
        <v>11</v>
      </c>
      <c r="H113">
        <v>4</v>
      </c>
      <c r="I113">
        <v>1</v>
      </c>
      <c r="J113">
        <v>1</v>
      </c>
      <c r="N113">
        <v>6</v>
      </c>
      <c r="P113">
        <v>2</v>
      </c>
      <c r="Q113">
        <v>3</v>
      </c>
      <c r="S113">
        <v>3</v>
      </c>
      <c r="T113">
        <v>1</v>
      </c>
      <c r="AG113">
        <v>5</v>
      </c>
      <c r="AO113" t="s">
        <v>1432</v>
      </c>
      <c r="AQ113" s="7" t="s">
        <v>574</v>
      </c>
    </row>
    <row r="114" spans="1:43">
      <c r="A114">
        <v>112</v>
      </c>
      <c r="B114">
        <v>7</v>
      </c>
      <c r="C114" t="s">
        <v>110</v>
      </c>
      <c r="E114">
        <v>10</v>
      </c>
      <c r="H114">
        <v>4</v>
      </c>
      <c r="I114">
        <v>2</v>
      </c>
      <c r="J114">
        <v>1</v>
      </c>
      <c r="N114">
        <v>7</v>
      </c>
      <c r="P114">
        <v>2</v>
      </c>
      <c r="Q114">
        <v>4</v>
      </c>
      <c r="S114">
        <v>4</v>
      </c>
      <c r="T114">
        <v>1</v>
      </c>
      <c r="AG114">
        <v>6</v>
      </c>
      <c r="AO114" t="s">
        <v>1432</v>
      </c>
      <c r="AQ114" s="7" t="s">
        <v>572</v>
      </c>
    </row>
    <row r="115" spans="1:43">
      <c r="A115">
        <v>113</v>
      </c>
      <c r="B115">
        <v>7</v>
      </c>
      <c r="C115" t="s">
        <v>111</v>
      </c>
      <c r="E115">
        <v>13</v>
      </c>
      <c r="H115">
        <v>5</v>
      </c>
      <c r="I115">
        <v>3</v>
      </c>
      <c r="J115">
        <v>1</v>
      </c>
      <c r="N115">
        <v>7</v>
      </c>
      <c r="P115">
        <v>2</v>
      </c>
      <c r="Q115">
        <v>5</v>
      </c>
      <c r="S115">
        <v>10</v>
      </c>
      <c r="T115">
        <v>1</v>
      </c>
      <c r="AG115">
        <v>7</v>
      </c>
      <c r="AO115" t="s">
        <v>1432</v>
      </c>
      <c r="AQ115" s="7" t="s">
        <v>572</v>
      </c>
    </row>
    <row r="116" spans="1:43" ht="14.25">
      <c r="A116">
        <v>114</v>
      </c>
      <c r="B116">
        <v>1</v>
      </c>
      <c r="C116" t="s">
        <v>112</v>
      </c>
      <c r="D116">
        <v>17</v>
      </c>
      <c r="G116">
        <v>2</v>
      </c>
      <c r="J116">
        <v>3</v>
      </c>
      <c r="L116">
        <v>3</v>
      </c>
      <c r="N116">
        <v>1</v>
      </c>
      <c r="Q116">
        <v>12</v>
      </c>
      <c r="R116">
        <v>18</v>
      </c>
      <c r="Z116">
        <v>4</v>
      </c>
      <c r="AK116">
        <v>10</v>
      </c>
      <c r="AO116" t="s">
        <v>1421</v>
      </c>
      <c r="AQ116" s="7" t="s">
        <v>600</v>
      </c>
    </row>
    <row r="117" spans="1:43">
      <c r="A117">
        <v>115</v>
      </c>
      <c r="B117">
        <v>8</v>
      </c>
      <c r="C117" t="s">
        <v>113</v>
      </c>
      <c r="F117">
        <v>1</v>
      </c>
      <c r="G117">
        <v>1</v>
      </c>
      <c r="H117">
        <v>5</v>
      </c>
      <c r="I117">
        <v>5</v>
      </c>
      <c r="J117">
        <v>2</v>
      </c>
      <c r="N117">
        <v>8</v>
      </c>
      <c r="P117">
        <v>1</v>
      </c>
      <c r="Q117">
        <v>2</v>
      </c>
      <c r="S117">
        <v>2</v>
      </c>
      <c r="T117">
        <v>2</v>
      </c>
      <c r="AG117">
        <v>5</v>
      </c>
      <c r="AO117" t="s">
        <v>1421</v>
      </c>
      <c r="AQ117" s="7" t="s">
        <v>585</v>
      </c>
    </row>
    <row r="118" spans="1:43" ht="14.25">
      <c r="A118">
        <v>116</v>
      </c>
      <c r="B118">
        <v>18</v>
      </c>
      <c r="C118" t="s">
        <v>114</v>
      </c>
      <c r="D118">
        <v>9</v>
      </c>
      <c r="J118">
        <v>2</v>
      </c>
      <c r="N118">
        <v>18</v>
      </c>
      <c r="Q118">
        <v>4</v>
      </c>
      <c r="R118">
        <v>9</v>
      </c>
      <c r="X118">
        <v>20</v>
      </c>
      <c r="AL118">
        <v>4</v>
      </c>
      <c r="AO118" t="s">
        <v>1432</v>
      </c>
      <c r="AP118" t="s">
        <v>626</v>
      </c>
      <c r="AQ118" s="7" t="s">
        <v>601</v>
      </c>
    </row>
    <row r="119" spans="1:43" ht="14.25">
      <c r="A119">
        <v>117</v>
      </c>
      <c r="B119">
        <v>1</v>
      </c>
      <c r="C119" t="s">
        <v>115</v>
      </c>
      <c r="D119">
        <v>23</v>
      </c>
      <c r="G119">
        <v>4</v>
      </c>
      <c r="J119">
        <v>1</v>
      </c>
      <c r="L119">
        <v>4</v>
      </c>
      <c r="N119">
        <v>1</v>
      </c>
      <c r="P119">
        <v>1</v>
      </c>
      <c r="Q119">
        <v>18</v>
      </c>
      <c r="R119">
        <v>23</v>
      </c>
      <c r="Z119">
        <v>4</v>
      </c>
      <c r="AK119">
        <v>14</v>
      </c>
      <c r="AO119" t="s">
        <v>1432</v>
      </c>
      <c r="AQ119" s="7" t="s">
        <v>602</v>
      </c>
    </row>
    <row r="120" spans="1:43">
      <c r="A120">
        <v>118</v>
      </c>
      <c r="B120">
        <v>8</v>
      </c>
      <c r="C120" t="s">
        <v>116</v>
      </c>
      <c r="F120">
        <v>1</v>
      </c>
      <c r="H120">
        <v>2</v>
      </c>
      <c r="I120">
        <v>8</v>
      </c>
      <c r="J120">
        <v>1</v>
      </c>
      <c r="N120">
        <v>8</v>
      </c>
      <c r="P120">
        <v>1</v>
      </c>
      <c r="Q120">
        <v>1</v>
      </c>
      <c r="S120">
        <v>15</v>
      </c>
      <c r="T120">
        <v>2</v>
      </c>
      <c r="AG120">
        <v>9</v>
      </c>
      <c r="AO120" t="s">
        <v>1432</v>
      </c>
      <c r="AQ120" s="7" t="s">
        <v>585</v>
      </c>
    </row>
    <row r="121" spans="1:43" ht="14.25">
      <c r="A121">
        <v>119</v>
      </c>
      <c r="B121">
        <v>1</v>
      </c>
      <c r="C121" t="s">
        <v>117</v>
      </c>
      <c r="D121">
        <v>3</v>
      </c>
      <c r="J121">
        <v>2</v>
      </c>
      <c r="L121">
        <v>2</v>
      </c>
      <c r="N121">
        <v>1</v>
      </c>
      <c r="Q121">
        <v>2</v>
      </c>
      <c r="R121">
        <v>2</v>
      </c>
      <c r="Z121">
        <v>2</v>
      </c>
      <c r="AK121">
        <v>3</v>
      </c>
      <c r="AO121" t="s">
        <v>1432</v>
      </c>
      <c r="AQ121" t="s">
        <v>603</v>
      </c>
    </row>
    <row r="122" spans="1:43">
      <c r="A122">
        <v>120</v>
      </c>
      <c r="B122">
        <v>13</v>
      </c>
      <c r="C122" t="s">
        <v>118</v>
      </c>
      <c r="G122">
        <v>2</v>
      </c>
      <c r="K122">
        <v>1</v>
      </c>
      <c r="N122">
        <v>13</v>
      </c>
      <c r="Q122">
        <v>1</v>
      </c>
      <c r="S122">
        <v>1</v>
      </c>
      <c r="AO122" t="s">
        <v>1432</v>
      </c>
      <c r="AQ122" s="7" t="s">
        <v>577</v>
      </c>
    </row>
    <row r="123" spans="1:43">
      <c r="A123">
        <v>121</v>
      </c>
      <c r="B123">
        <v>13</v>
      </c>
      <c r="C123" t="s">
        <v>119</v>
      </c>
      <c r="G123">
        <v>3</v>
      </c>
      <c r="K123">
        <v>1</v>
      </c>
      <c r="N123">
        <v>13</v>
      </c>
      <c r="Q123">
        <v>1</v>
      </c>
      <c r="S123">
        <v>2</v>
      </c>
      <c r="AO123" t="s">
        <v>1432</v>
      </c>
      <c r="AQ123" s="7" t="s">
        <v>577</v>
      </c>
    </row>
    <row r="124" spans="1:43" ht="14.25">
      <c r="A124">
        <v>122</v>
      </c>
      <c r="B124">
        <v>1</v>
      </c>
      <c r="C124" t="s">
        <v>120</v>
      </c>
      <c r="D124">
        <v>3</v>
      </c>
      <c r="G124">
        <v>10</v>
      </c>
      <c r="J124">
        <v>1</v>
      </c>
      <c r="K124">
        <v>1</v>
      </c>
      <c r="L124">
        <v>1</v>
      </c>
      <c r="N124">
        <v>1</v>
      </c>
      <c r="Q124">
        <v>2</v>
      </c>
      <c r="R124">
        <v>3</v>
      </c>
      <c r="S124">
        <v>2</v>
      </c>
      <c r="Z124">
        <v>1</v>
      </c>
      <c r="AA124">
        <v>4</v>
      </c>
      <c r="AB124">
        <v>35</v>
      </c>
      <c r="AC124">
        <v>1</v>
      </c>
      <c r="AK124">
        <v>1</v>
      </c>
      <c r="AO124" t="s">
        <v>1432</v>
      </c>
      <c r="AQ124" s="7" t="s">
        <v>604</v>
      </c>
    </row>
    <row r="125" spans="1:43" ht="14.25">
      <c r="A125">
        <v>123</v>
      </c>
      <c r="B125">
        <v>1</v>
      </c>
      <c r="C125" t="s">
        <v>121</v>
      </c>
      <c r="D125">
        <v>10</v>
      </c>
      <c r="G125">
        <v>2</v>
      </c>
      <c r="J125">
        <v>3</v>
      </c>
      <c r="L125">
        <v>2</v>
      </c>
      <c r="N125">
        <v>1</v>
      </c>
      <c r="Q125">
        <v>4</v>
      </c>
      <c r="R125">
        <v>5</v>
      </c>
      <c r="Z125">
        <v>3</v>
      </c>
      <c r="AK125">
        <v>7</v>
      </c>
      <c r="AO125" t="s">
        <v>1421</v>
      </c>
      <c r="AQ125" t="s">
        <v>603</v>
      </c>
    </row>
    <row r="126" spans="1:43">
      <c r="A126">
        <v>124</v>
      </c>
      <c r="B126">
        <v>10</v>
      </c>
      <c r="C126" t="s">
        <v>122</v>
      </c>
      <c r="D126">
        <v>3</v>
      </c>
      <c r="G126">
        <v>7</v>
      </c>
      <c r="I126">
        <v>9</v>
      </c>
      <c r="J126">
        <v>10</v>
      </c>
      <c r="N126">
        <v>10</v>
      </c>
      <c r="R126">
        <v>27</v>
      </c>
      <c r="S126">
        <v>29</v>
      </c>
      <c r="AO126" t="s">
        <v>1421</v>
      </c>
      <c r="AQ126" s="7" t="s">
        <v>578</v>
      </c>
    </row>
    <row r="127" spans="1:43">
      <c r="A127">
        <v>125</v>
      </c>
      <c r="B127">
        <v>3</v>
      </c>
      <c r="C127" t="s">
        <v>123</v>
      </c>
      <c r="E127">
        <v>8</v>
      </c>
      <c r="K127">
        <v>1</v>
      </c>
      <c r="L127">
        <v>1</v>
      </c>
      <c r="M127">
        <v>1</v>
      </c>
      <c r="N127">
        <v>3</v>
      </c>
      <c r="P127">
        <v>2</v>
      </c>
      <c r="Q127">
        <v>2</v>
      </c>
      <c r="R127">
        <v>1</v>
      </c>
      <c r="AO127" t="s">
        <v>1432</v>
      </c>
      <c r="AQ127" s="7" t="s">
        <v>605</v>
      </c>
    </row>
    <row r="128" spans="1:43">
      <c r="A128">
        <v>126</v>
      </c>
      <c r="B128">
        <v>18</v>
      </c>
      <c r="C128" t="s">
        <v>124</v>
      </c>
      <c r="D128">
        <v>1</v>
      </c>
      <c r="L128">
        <v>1</v>
      </c>
      <c r="M128">
        <v>-1</v>
      </c>
      <c r="N128">
        <v>18</v>
      </c>
      <c r="P128">
        <v>1</v>
      </c>
      <c r="Q128">
        <v>4</v>
      </c>
      <c r="R128">
        <v>2</v>
      </c>
      <c r="S128">
        <v>1</v>
      </c>
      <c r="AF128">
        <v>2</v>
      </c>
      <c r="AO128" t="s">
        <v>1421</v>
      </c>
      <c r="AQ128" s="7" t="s">
        <v>606</v>
      </c>
    </row>
    <row r="129" spans="1:43">
      <c r="A129">
        <v>127</v>
      </c>
      <c r="B129">
        <v>3</v>
      </c>
      <c r="C129" t="s">
        <v>125</v>
      </c>
      <c r="E129">
        <v>14</v>
      </c>
      <c r="J129">
        <v>7</v>
      </c>
      <c r="K129">
        <v>2</v>
      </c>
      <c r="L129">
        <v>1</v>
      </c>
      <c r="N129">
        <v>3</v>
      </c>
      <c r="P129">
        <v>2</v>
      </c>
      <c r="Q129">
        <v>2</v>
      </c>
      <c r="R129">
        <v>1</v>
      </c>
      <c r="S129">
        <v>1</v>
      </c>
      <c r="AJ129">
        <v>1</v>
      </c>
      <c r="AO129" t="s">
        <v>1432</v>
      </c>
      <c r="AQ129" s="7" t="s">
        <v>595</v>
      </c>
    </row>
    <row r="130" spans="1:43" ht="14.25">
      <c r="A130">
        <v>128</v>
      </c>
      <c r="B130">
        <v>1</v>
      </c>
      <c r="C130" t="s">
        <v>126</v>
      </c>
      <c r="D130">
        <v>30</v>
      </c>
      <c r="G130">
        <v>5</v>
      </c>
      <c r="J130">
        <v>1</v>
      </c>
      <c r="K130">
        <v>-1</v>
      </c>
      <c r="L130">
        <v>4</v>
      </c>
      <c r="N130">
        <v>1</v>
      </c>
      <c r="Q130">
        <v>30</v>
      </c>
      <c r="R130">
        <v>28</v>
      </c>
      <c r="Z130">
        <v>4</v>
      </c>
      <c r="AK130">
        <v>16</v>
      </c>
      <c r="AO130" t="s">
        <v>1432</v>
      </c>
      <c r="AQ130" s="7" t="s">
        <v>607</v>
      </c>
    </row>
    <row r="131" spans="1:43">
      <c r="A131">
        <v>129</v>
      </c>
      <c r="B131">
        <v>18</v>
      </c>
      <c r="C131" t="s">
        <v>127</v>
      </c>
      <c r="G131">
        <v>1</v>
      </c>
      <c r="I131">
        <v>2</v>
      </c>
      <c r="J131">
        <v>2</v>
      </c>
      <c r="K131">
        <v>3</v>
      </c>
      <c r="N131">
        <v>18</v>
      </c>
      <c r="P131">
        <v>1</v>
      </c>
      <c r="AE131">
        <v>3</v>
      </c>
      <c r="AQ131" s="7" t="s">
        <v>608</v>
      </c>
    </row>
    <row r="132" spans="1:43">
      <c r="A132">
        <v>130</v>
      </c>
      <c r="B132">
        <v>2</v>
      </c>
      <c r="C132" t="s">
        <v>128</v>
      </c>
      <c r="D132">
        <v>1</v>
      </c>
      <c r="G132">
        <v>8</v>
      </c>
      <c r="J132">
        <v>1</v>
      </c>
      <c r="K132">
        <v>1</v>
      </c>
      <c r="L132">
        <v>1</v>
      </c>
      <c r="N132">
        <v>2</v>
      </c>
      <c r="Q132">
        <v>2</v>
      </c>
      <c r="R132">
        <v>3</v>
      </c>
      <c r="S132">
        <v>2</v>
      </c>
      <c r="Z132">
        <v>1</v>
      </c>
      <c r="AA132">
        <v>4</v>
      </c>
      <c r="AB132">
        <v>35</v>
      </c>
      <c r="AC132">
        <v>1</v>
      </c>
      <c r="AK132">
        <v>1</v>
      </c>
      <c r="AO132" t="s">
        <v>1432</v>
      </c>
      <c r="AQ132" s="8" t="s">
        <v>570</v>
      </c>
    </row>
    <row r="133" spans="1:43">
      <c r="A133">
        <v>131</v>
      </c>
      <c r="B133">
        <v>12</v>
      </c>
      <c r="C133" t="s">
        <v>129</v>
      </c>
      <c r="G133">
        <v>9</v>
      </c>
      <c r="K133">
        <v>1</v>
      </c>
      <c r="N133">
        <v>12</v>
      </c>
      <c r="Q133">
        <v>5</v>
      </c>
      <c r="R133">
        <v>2</v>
      </c>
      <c r="S133">
        <v>1</v>
      </c>
      <c r="AC133">
        <v>2</v>
      </c>
      <c r="AO133" t="s">
        <v>1432</v>
      </c>
      <c r="AQ133" s="7" t="s">
        <v>577</v>
      </c>
    </row>
    <row r="134" spans="1:43" ht="14.25">
      <c r="A134">
        <v>132</v>
      </c>
      <c r="B134">
        <v>15</v>
      </c>
      <c r="C134" t="s">
        <v>130</v>
      </c>
      <c r="H134">
        <v>11</v>
      </c>
      <c r="I134">
        <v>1</v>
      </c>
      <c r="J134">
        <v>1</v>
      </c>
      <c r="K134">
        <v>1</v>
      </c>
      <c r="N134">
        <v>15</v>
      </c>
      <c r="R134">
        <v>3</v>
      </c>
      <c r="S134">
        <v>3</v>
      </c>
      <c r="AO134" t="s">
        <v>1432</v>
      </c>
      <c r="AQ134" s="7" t="s">
        <v>609</v>
      </c>
    </row>
    <row r="135" spans="1:43" ht="14.25">
      <c r="A135">
        <v>133</v>
      </c>
      <c r="B135">
        <v>1</v>
      </c>
      <c r="C135" t="s">
        <v>131</v>
      </c>
      <c r="D135">
        <v>20</v>
      </c>
      <c r="G135">
        <v>2</v>
      </c>
      <c r="J135">
        <v>-3</v>
      </c>
      <c r="K135">
        <v>-1</v>
      </c>
      <c r="L135">
        <v>4</v>
      </c>
      <c r="N135">
        <v>1</v>
      </c>
      <c r="Q135">
        <v>16</v>
      </c>
      <c r="R135">
        <v>21</v>
      </c>
      <c r="Z135">
        <v>4</v>
      </c>
      <c r="AK135">
        <v>11</v>
      </c>
      <c r="AO135" t="s">
        <v>1434</v>
      </c>
      <c r="AQ135" s="7" t="s">
        <v>610</v>
      </c>
    </row>
    <row r="136" spans="1:43">
      <c r="A136">
        <v>134</v>
      </c>
      <c r="B136">
        <v>2</v>
      </c>
      <c r="C136" t="s">
        <v>132</v>
      </c>
      <c r="D136">
        <v>8</v>
      </c>
      <c r="G136">
        <v>2</v>
      </c>
      <c r="J136">
        <v>1</v>
      </c>
      <c r="L136">
        <v>2</v>
      </c>
      <c r="M136">
        <v>1</v>
      </c>
      <c r="N136">
        <v>2</v>
      </c>
      <c r="Q136">
        <v>2</v>
      </c>
      <c r="R136">
        <v>5</v>
      </c>
      <c r="Z136">
        <v>2</v>
      </c>
      <c r="AK136">
        <v>4</v>
      </c>
      <c r="AO136" t="s">
        <v>1434</v>
      </c>
      <c r="AQ136" s="8" t="s">
        <v>570</v>
      </c>
    </row>
    <row r="137" spans="1:43">
      <c r="A137">
        <v>135</v>
      </c>
      <c r="B137">
        <v>2</v>
      </c>
      <c r="C137" t="s">
        <v>133</v>
      </c>
      <c r="D137">
        <v>1</v>
      </c>
      <c r="G137">
        <v>8</v>
      </c>
      <c r="J137">
        <v>1</v>
      </c>
      <c r="L137">
        <v>1</v>
      </c>
      <c r="N137">
        <v>2</v>
      </c>
      <c r="Q137">
        <v>1</v>
      </c>
      <c r="R137">
        <v>3</v>
      </c>
      <c r="Z137">
        <v>1</v>
      </c>
      <c r="AA137">
        <v>4</v>
      </c>
      <c r="AB137">
        <v>35</v>
      </c>
      <c r="AC137">
        <v>1</v>
      </c>
      <c r="AK137">
        <v>1</v>
      </c>
      <c r="AO137" t="s">
        <v>1434</v>
      </c>
      <c r="AQ137" s="8" t="s">
        <v>570</v>
      </c>
    </row>
    <row r="138" spans="1:43">
      <c r="A138">
        <v>136</v>
      </c>
      <c r="B138">
        <v>17</v>
      </c>
      <c r="C138" t="s">
        <v>134</v>
      </c>
      <c r="K138">
        <v>-1</v>
      </c>
      <c r="M138">
        <v>7</v>
      </c>
      <c r="N138">
        <v>17</v>
      </c>
      <c r="R138">
        <v>24</v>
      </c>
      <c r="S138">
        <v>4</v>
      </c>
      <c r="AO138" t="s">
        <v>1434</v>
      </c>
      <c r="AQ138" s="7" t="s">
        <v>590</v>
      </c>
    </row>
    <row r="139" spans="1:43" ht="14.25">
      <c r="A139">
        <v>137</v>
      </c>
      <c r="B139">
        <v>1</v>
      </c>
      <c r="C139" t="s">
        <v>135</v>
      </c>
      <c r="D139">
        <v>21</v>
      </c>
      <c r="G139">
        <v>4</v>
      </c>
      <c r="J139">
        <v>-1</v>
      </c>
      <c r="K139">
        <v>-1</v>
      </c>
      <c r="L139">
        <v>4</v>
      </c>
      <c r="N139">
        <v>1</v>
      </c>
      <c r="Q139">
        <v>16</v>
      </c>
      <c r="R139">
        <v>22</v>
      </c>
      <c r="S139">
        <v>1</v>
      </c>
      <c r="Z139">
        <v>4</v>
      </c>
      <c r="AK139">
        <v>11</v>
      </c>
      <c r="AO139" t="s">
        <v>1434</v>
      </c>
      <c r="AQ139" s="7" t="s">
        <v>610</v>
      </c>
    </row>
    <row r="140" spans="1:43" ht="14.25">
      <c r="A140">
        <v>138</v>
      </c>
      <c r="B140">
        <v>8</v>
      </c>
      <c r="C140" t="s">
        <v>136</v>
      </c>
      <c r="E140">
        <v>11</v>
      </c>
      <c r="F140">
        <v>12</v>
      </c>
      <c r="G140">
        <v>4</v>
      </c>
      <c r="H140">
        <v>5</v>
      </c>
      <c r="I140">
        <v>12</v>
      </c>
      <c r="J140">
        <v>1</v>
      </c>
      <c r="N140">
        <v>8</v>
      </c>
      <c r="P140">
        <v>9</v>
      </c>
      <c r="Q140">
        <v>2</v>
      </c>
      <c r="S140">
        <v>26</v>
      </c>
      <c r="T140">
        <v>2</v>
      </c>
      <c r="AD140">
        <v>3</v>
      </c>
      <c r="AG140">
        <v>25</v>
      </c>
      <c r="AO140" t="s">
        <v>1432</v>
      </c>
      <c r="AQ140" s="7" t="s">
        <v>611</v>
      </c>
    </row>
    <row r="141" spans="1:43" ht="14.25">
      <c r="A141">
        <v>139</v>
      </c>
      <c r="B141">
        <v>1</v>
      </c>
      <c r="C141" t="s">
        <v>137</v>
      </c>
      <c r="D141">
        <v>5</v>
      </c>
      <c r="G141">
        <v>3</v>
      </c>
      <c r="J141">
        <v>4</v>
      </c>
      <c r="L141">
        <v>2</v>
      </c>
      <c r="N141">
        <v>1</v>
      </c>
      <c r="Q141">
        <v>2</v>
      </c>
      <c r="R141">
        <v>3</v>
      </c>
      <c r="S141">
        <v>1</v>
      </c>
      <c r="Z141">
        <v>2</v>
      </c>
      <c r="AK141">
        <v>3</v>
      </c>
      <c r="AO141" t="s">
        <v>1432</v>
      </c>
      <c r="AQ141" t="s">
        <v>603</v>
      </c>
    </row>
    <row r="142" spans="1:43" ht="14.25">
      <c r="A142">
        <v>140</v>
      </c>
      <c r="B142">
        <v>18</v>
      </c>
      <c r="C142" t="s">
        <v>138</v>
      </c>
      <c r="G142">
        <v>1</v>
      </c>
      <c r="I142">
        <v>3</v>
      </c>
      <c r="N142">
        <v>18</v>
      </c>
      <c r="R142">
        <v>13</v>
      </c>
      <c r="S142">
        <v>13</v>
      </c>
      <c r="AE142">
        <v>1</v>
      </c>
      <c r="AO142" t="s">
        <v>1432</v>
      </c>
      <c r="AQ142" s="7" t="s">
        <v>612</v>
      </c>
    </row>
    <row r="143" spans="1:43">
      <c r="A143">
        <v>141</v>
      </c>
      <c r="B143">
        <v>10</v>
      </c>
      <c r="C143" t="s">
        <v>139</v>
      </c>
      <c r="I143">
        <v>11</v>
      </c>
      <c r="J143">
        <v>9</v>
      </c>
      <c r="N143">
        <v>10</v>
      </c>
      <c r="R143">
        <v>22</v>
      </c>
      <c r="S143">
        <v>26</v>
      </c>
      <c r="AO143" t="s">
        <v>1432</v>
      </c>
      <c r="AQ143" s="7" t="s">
        <v>578</v>
      </c>
    </row>
    <row r="144" spans="1:43">
      <c r="A144">
        <v>142</v>
      </c>
      <c r="B144">
        <v>10</v>
      </c>
      <c r="C144" t="s">
        <v>140</v>
      </c>
      <c r="D144">
        <v>1</v>
      </c>
      <c r="G144">
        <v>8</v>
      </c>
      <c r="I144">
        <v>7</v>
      </c>
      <c r="J144">
        <v>9</v>
      </c>
      <c r="K144">
        <v>1</v>
      </c>
      <c r="M144">
        <v>1</v>
      </c>
      <c r="N144">
        <v>10</v>
      </c>
      <c r="R144">
        <v>26</v>
      </c>
      <c r="S144">
        <v>28</v>
      </c>
      <c r="AO144" t="s">
        <v>1432</v>
      </c>
      <c r="AP144" t="s">
        <v>560</v>
      </c>
      <c r="AQ144" s="7" t="s">
        <v>613</v>
      </c>
    </row>
    <row r="145" spans="1:43">
      <c r="A145">
        <v>143</v>
      </c>
      <c r="B145">
        <v>7</v>
      </c>
      <c r="C145" t="s">
        <v>141</v>
      </c>
      <c r="E145">
        <v>12</v>
      </c>
      <c r="G145">
        <v>1</v>
      </c>
      <c r="H145">
        <v>5</v>
      </c>
      <c r="I145">
        <v>4</v>
      </c>
      <c r="J145">
        <v>2</v>
      </c>
      <c r="N145">
        <v>7</v>
      </c>
      <c r="P145">
        <v>1</v>
      </c>
      <c r="Q145">
        <v>1</v>
      </c>
      <c r="S145">
        <v>2</v>
      </c>
      <c r="T145">
        <v>1</v>
      </c>
      <c r="AG145">
        <v>5</v>
      </c>
      <c r="AO145" t="s">
        <v>1432</v>
      </c>
      <c r="AQ145" s="7" t="s">
        <v>572</v>
      </c>
    </row>
    <row r="146" spans="1:43">
      <c r="A146">
        <v>144</v>
      </c>
      <c r="B146">
        <v>7</v>
      </c>
      <c r="C146" t="s">
        <v>142</v>
      </c>
      <c r="E146">
        <v>15</v>
      </c>
      <c r="G146">
        <v>1</v>
      </c>
      <c r="H146">
        <v>6</v>
      </c>
      <c r="I146">
        <v>4</v>
      </c>
      <c r="J146">
        <v>2</v>
      </c>
      <c r="N146">
        <v>7</v>
      </c>
      <c r="P146">
        <v>2</v>
      </c>
      <c r="Q146">
        <v>4</v>
      </c>
      <c r="S146">
        <v>4</v>
      </c>
      <c r="T146">
        <v>1</v>
      </c>
      <c r="AG146">
        <v>6</v>
      </c>
      <c r="AO146" t="s">
        <v>1432</v>
      </c>
      <c r="AQ146" s="7" t="s">
        <v>572</v>
      </c>
    </row>
    <row r="147" spans="1:43" ht="14.25">
      <c r="A147">
        <v>145</v>
      </c>
      <c r="B147">
        <v>16</v>
      </c>
      <c r="C147" t="s">
        <v>143</v>
      </c>
      <c r="N147">
        <v>16</v>
      </c>
      <c r="P147">
        <v>1</v>
      </c>
      <c r="AQ147" s="2" t="s">
        <v>582</v>
      </c>
    </row>
    <row r="148" spans="1:43">
      <c r="A148">
        <v>146</v>
      </c>
      <c r="B148">
        <v>16</v>
      </c>
      <c r="C148" t="s">
        <v>144</v>
      </c>
      <c r="M148">
        <v>-2</v>
      </c>
      <c r="N148">
        <v>16</v>
      </c>
      <c r="P148">
        <v>30</v>
      </c>
      <c r="Q148">
        <v>30</v>
      </c>
      <c r="AQ148" s="7" t="s">
        <v>614</v>
      </c>
    </row>
    <row r="149" spans="1:43" ht="14.25">
      <c r="A149">
        <v>147</v>
      </c>
      <c r="B149">
        <v>1</v>
      </c>
      <c r="C149" t="s">
        <v>145</v>
      </c>
      <c r="D149">
        <v>3</v>
      </c>
      <c r="G149">
        <v>2</v>
      </c>
      <c r="J149">
        <v>1</v>
      </c>
      <c r="L149">
        <v>1</v>
      </c>
      <c r="N149">
        <v>1</v>
      </c>
      <c r="Q149">
        <v>1</v>
      </c>
      <c r="R149">
        <v>2</v>
      </c>
      <c r="AK149">
        <v>1</v>
      </c>
      <c r="AO149" t="s">
        <v>1434</v>
      </c>
      <c r="AQ149" s="7" t="s">
        <v>604</v>
      </c>
    </row>
    <row r="150" spans="1:43">
      <c r="A150">
        <v>148</v>
      </c>
      <c r="B150">
        <v>6</v>
      </c>
      <c r="C150" t="s">
        <v>146</v>
      </c>
      <c r="F150">
        <v>11</v>
      </c>
      <c r="G150">
        <v>1</v>
      </c>
      <c r="H150">
        <v>4</v>
      </c>
      <c r="I150">
        <v>2</v>
      </c>
      <c r="N150">
        <v>6</v>
      </c>
      <c r="P150">
        <v>4</v>
      </c>
      <c r="Q150">
        <v>5</v>
      </c>
      <c r="S150">
        <v>15</v>
      </c>
      <c r="T150">
        <v>1</v>
      </c>
      <c r="AG150">
        <v>9</v>
      </c>
      <c r="AO150" t="s">
        <v>1432</v>
      </c>
      <c r="AQ150" s="7" t="s">
        <v>574</v>
      </c>
    </row>
    <row r="151" spans="1:43" ht="14.25">
      <c r="A151">
        <v>149</v>
      </c>
      <c r="B151">
        <v>15</v>
      </c>
      <c r="C151" t="s">
        <v>147</v>
      </c>
      <c r="H151">
        <v>12</v>
      </c>
      <c r="J151">
        <v>1</v>
      </c>
      <c r="N151">
        <v>15</v>
      </c>
      <c r="R151">
        <v>1</v>
      </c>
      <c r="S151">
        <v>3</v>
      </c>
      <c r="AO151" t="s">
        <v>1432</v>
      </c>
      <c r="AQ151" s="7" t="s">
        <v>615</v>
      </c>
    </row>
    <row r="152" spans="1:43" ht="14.25">
      <c r="A152">
        <v>150</v>
      </c>
      <c r="B152">
        <v>16</v>
      </c>
      <c r="C152" t="s">
        <v>148</v>
      </c>
      <c r="N152">
        <v>16</v>
      </c>
      <c r="P152">
        <v>1</v>
      </c>
      <c r="S152">
        <v>1</v>
      </c>
      <c r="AQ152" s="2" t="s">
        <v>582</v>
      </c>
    </row>
    <row r="153" spans="1:43" ht="14.25">
      <c r="A153">
        <v>151</v>
      </c>
      <c r="B153">
        <v>8</v>
      </c>
      <c r="C153" t="s">
        <v>149</v>
      </c>
      <c r="D153">
        <v>2</v>
      </c>
      <c r="I153">
        <v>11</v>
      </c>
      <c r="J153">
        <v>2</v>
      </c>
      <c r="N153">
        <v>8</v>
      </c>
      <c r="P153">
        <v>4</v>
      </c>
      <c r="S153">
        <v>14</v>
      </c>
      <c r="T153">
        <v>1</v>
      </c>
      <c r="AG153">
        <v>12</v>
      </c>
      <c r="AO153" t="s">
        <v>1432</v>
      </c>
      <c r="AQ153" s="7" t="s">
        <v>616</v>
      </c>
    </row>
    <row r="154" spans="1:43">
      <c r="A154">
        <v>152</v>
      </c>
      <c r="B154">
        <v>5</v>
      </c>
      <c r="C154" t="s">
        <v>150</v>
      </c>
      <c r="G154">
        <v>9</v>
      </c>
      <c r="I154">
        <v>1</v>
      </c>
      <c r="J154">
        <v>1</v>
      </c>
      <c r="K154">
        <v>2</v>
      </c>
      <c r="N154">
        <v>5</v>
      </c>
      <c r="P154">
        <v>1</v>
      </c>
      <c r="Q154">
        <v>2</v>
      </c>
      <c r="S154">
        <v>3</v>
      </c>
      <c r="T154">
        <v>1</v>
      </c>
      <c r="AG154">
        <v>5</v>
      </c>
      <c r="AO154" t="s">
        <v>1432</v>
      </c>
      <c r="AQ154" s="7" t="s">
        <v>573</v>
      </c>
    </row>
    <row r="155" spans="1:43">
      <c r="A155">
        <v>153</v>
      </c>
      <c r="B155">
        <v>5</v>
      </c>
      <c r="C155" t="s">
        <v>151</v>
      </c>
      <c r="G155">
        <v>10</v>
      </c>
      <c r="I155">
        <v>1</v>
      </c>
      <c r="J155">
        <v>1</v>
      </c>
      <c r="K155">
        <v>2</v>
      </c>
      <c r="N155">
        <v>5</v>
      </c>
      <c r="P155">
        <v>1</v>
      </c>
      <c r="Q155">
        <v>2</v>
      </c>
      <c r="S155">
        <v>4</v>
      </c>
      <c r="T155">
        <v>1</v>
      </c>
      <c r="AG155">
        <v>5</v>
      </c>
      <c r="AO155" t="s">
        <v>1432</v>
      </c>
      <c r="AQ155" s="7" t="s">
        <v>573</v>
      </c>
    </row>
    <row r="156" spans="1:43">
      <c r="A156">
        <v>154</v>
      </c>
      <c r="B156">
        <v>6</v>
      </c>
      <c r="C156" t="s">
        <v>152</v>
      </c>
      <c r="F156">
        <v>4</v>
      </c>
      <c r="G156">
        <v>7</v>
      </c>
      <c r="H156">
        <v>3</v>
      </c>
      <c r="I156">
        <v>1</v>
      </c>
      <c r="J156">
        <v>1</v>
      </c>
      <c r="K156">
        <v>2</v>
      </c>
      <c r="N156">
        <v>6</v>
      </c>
      <c r="P156">
        <v>2</v>
      </c>
      <c r="Q156">
        <v>4</v>
      </c>
      <c r="S156">
        <v>4</v>
      </c>
      <c r="T156">
        <v>1</v>
      </c>
      <c r="AD156">
        <v>5</v>
      </c>
      <c r="AG156">
        <v>5</v>
      </c>
      <c r="AO156" t="s">
        <v>1432</v>
      </c>
      <c r="AQ156" s="7" t="s">
        <v>574</v>
      </c>
    </row>
    <row r="157" spans="1:43">
      <c r="A157">
        <v>155</v>
      </c>
      <c r="B157">
        <v>5</v>
      </c>
      <c r="C157" t="s">
        <v>153</v>
      </c>
      <c r="G157">
        <v>9</v>
      </c>
      <c r="I157">
        <v>1</v>
      </c>
      <c r="J157">
        <v>1</v>
      </c>
      <c r="K157">
        <v>3</v>
      </c>
      <c r="N157">
        <v>5</v>
      </c>
      <c r="P157">
        <v>1</v>
      </c>
      <c r="Q157">
        <v>2</v>
      </c>
      <c r="S157">
        <v>2</v>
      </c>
      <c r="T157">
        <v>1</v>
      </c>
      <c r="AG157">
        <v>4</v>
      </c>
      <c r="AO157" t="s">
        <v>1432</v>
      </c>
      <c r="AQ157" s="7" t="s">
        <v>573</v>
      </c>
    </row>
    <row r="158" spans="1:43">
      <c r="A158">
        <v>156</v>
      </c>
      <c r="B158">
        <v>5</v>
      </c>
      <c r="C158" t="s">
        <v>154</v>
      </c>
      <c r="G158">
        <v>11</v>
      </c>
      <c r="I158">
        <v>1</v>
      </c>
      <c r="J158">
        <v>1</v>
      </c>
      <c r="K158">
        <v>3</v>
      </c>
      <c r="N158">
        <v>5</v>
      </c>
      <c r="P158">
        <v>1</v>
      </c>
      <c r="Q158">
        <v>2</v>
      </c>
      <c r="S158">
        <v>4</v>
      </c>
      <c r="T158">
        <v>1</v>
      </c>
      <c r="AG158">
        <v>5</v>
      </c>
      <c r="AO158" t="s">
        <v>1432</v>
      </c>
      <c r="AQ158" s="7" t="s">
        <v>573</v>
      </c>
    </row>
    <row r="159" spans="1:43">
      <c r="A159">
        <v>157</v>
      </c>
      <c r="B159">
        <v>5</v>
      </c>
      <c r="C159" t="s">
        <v>155</v>
      </c>
      <c r="G159">
        <v>12</v>
      </c>
      <c r="I159">
        <v>3</v>
      </c>
      <c r="J159">
        <v>2</v>
      </c>
      <c r="K159">
        <v>4</v>
      </c>
      <c r="N159">
        <v>5</v>
      </c>
      <c r="P159">
        <v>1</v>
      </c>
      <c r="Q159">
        <v>2</v>
      </c>
      <c r="S159">
        <v>5</v>
      </c>
      <c r="T159">
        <v>1</v>
      </c>
      <c r="AG159">
        <v>6</v>
      </c>
      <c r="AO159" t="s">
        <v>1432</v>
      </c>
      <c r="AQ159" s="7" t="s">
        <v>573</v>
      </c>
    </row>
    <row r="160" spans="1:43">
      <c r="A160">
        <v>158</v>
      </c>
      <c r="B160">
        <v>5</v>
      </c>
      <c r="C160" t="s">
        <v>156</v>
      </c>
      <c r="D160">
        <v>1</v>
      </c>
      <c r="G160">
        <v>8</v>
      </c>
      <c r="K160">
        <v>4</v>
      </c>
      <c r="N160">
        <v>5</v>
      </c>
      <c r="P160">
        <v>1</v>
      </c>
      <c r="Q160">
        <v>2</v>
      </c>
      <c r="S160">
        <v>6</v>
      </c>
      <c r="T160">
        <v>1</v>
      </c>
      <c r="AG160">
        <v>6</v>
      </c>
      <c r="AO160" t="s">
        <v>1421</v>
      </c>
      <c r="AQ160" s="7" t="s">
        <v>573</v>
      </c>
    </row>
    <row r="161" spans="1:43">
      <c r="A161">
        <v>159</v>
      </c>
      <c r="B161">
        <v>5</v>
      </c>
      <c r="C161" t="s">
        <v>157</v>
      </c>
      <c r="D161">
        <v>2</v>
      </c>
      <c r="G161">
        <v>10</v>
      </c>
      <c r="K161">
        <v>2</v>
      </c>
      <c r="N161">
        <v>5</v>
      </c>
      <c r="P161">
        <v>2</v>
      </c>
      <c r="Q161">
        <v>3</v>
      </c>
      <c r="S161">
        <v>8</v>
      </c>
      <c r="T161">
        <v>1</v>
      </c>
      <c r="AG161">
        <v>6</v>
      </c>
      <c r="AO161" t="s">
        <v>1421</v>
      </c>
      <c r="AQ161" s="7" t="s">
        <v>573</v>
      </c>
    </row>
    <row r="162" spans="1:43">
      <c r="A162">
        <v>160</v>
      </c>
      <c r="B162">
        <v>2</v>
      </c>
      <c r="C162" t="s">
        <v>158</v>
      </c>
      <c r="D162">
        <v>3</v>
      </c>
      <c r="G162">
        <v>6</v>
      </c>
      <c r="J162">
        <v>2</v>
      </c>
      <c r="K162">
        <v>1</v>
      </c>
      <c r="L162">
        <v>1</v>
      </c>
      <c r="N162">
        <v>2</v>
      </c>
      <c r="Q162">
        <v>2</v>
      </c>
      <c r="R162">
        <v>4</v>
      </c>
      <c r="Z162">
        <v>1</v>
      </c>
      <c r="AK162">
        <v>1</v>
      </c>
      <c r="AO162" t="s">
        <v>1421</v>
      </c>
      <c r="AQ162" s="8" t="s">
        <v>570</v>
      </c>
    </row>
    <row r="163" spans="1:43" ht="14.25">
      <c r="A163">
        <v>161</v>
      </c>
      <c r="B163">
        <v>1</v>
      </c>
      <c r="C163" t="s">
        <v>159</v>
      </c>
      <c r="D163">
        <v>24</v>
      </c>
      <c r="G163">
        <v>3</v>
      </c>
      <c r="J163">
        <v>4</v>
      </c>
      <c r="L163">
        <v>3</v>
      </c>
      <c r="M163">
        <v>1</v>
      </c>
      <c r="N163">
        <v>1</v>
      </c>
      <c r="Q163">
        <v>20</v>
      </c>
      <c r="R163">
        <v>22</v>
      </c>
      <c r="S163">
        <v>2</v>
      </c>
      <c r="Z163">
        <v>4</v>
      </c>
      <c r="AK163">
        <v>13</v>
      </c>
      <c r="AO163" t="s">
        <v>1419</v>
      </c>
      <c r="AQ163" s="7" t="s">
        <v>610</v>
      </c>
    </row>
    <row r="164" spans="1:43" ht="14.25">
      <c r="A164">
        <v>162</v>
      </c>
      <c r="B164">
        <v>1</v>
      </c>
      <c r="C164" t="s">
        <v>160</v>
      </c>
      <c r="D164">
        <v>9</v>
      </c>
      <c r="G164">
        <v>1</v>
      </c>
      <c r="J164">
        <v>-2</v>
      </c>
      <c r="L164">
        <v>3</v>
      </c>
      <c r="N164">
        <v>1</v>
      </c>
      <c r="Q164">
        <v>4</v>
      </c>
      <c r="R164">
        <v>4</v>
      </c>
      <c r="Z164">
        <v>3</v>
      </c>
      <c r="AK164">
        <v>7</v>
      </c>
      <c r="AO164" t="s">
        <v>1434</v>
      </c>
      <c r="AQ164" t="s">
        <v>603</v>
      </c>
    </row>
    <row r="165" spans="1:43">
      <c r="A165">
        <v>163</v>
      </c>
      <c r="B165">
        <v>8</v>
      </c>
      <c r="C165" t="s">
        <v>161</v>
      </c>
      <c r="D165">
        <v>1</v>
      </c>
      <c r="G165">
        <v>1</v>
      </c>
      <c r="H165">
        <v>2</v>
      </c>
      <c r="I165">
        <v>4</v>
      </c>
      <c r="J165">
        <v>2</v>
      </c>
      <c r="K165">
        <v>1</v>
      </c>
      <c r="N165">
        <v>8</v>
      </c>
      <c r="P165">
        <v>1</v>
      </c>
      <c r="Q165">
        <v>1</v>
      </c>
      <c r="S165">
        <v>2</v>
      </c>
      <c r="T165">
        <v>2</v>
      </c>
      <c r="AG165">
        <v>4</v>
      </c>
      <c r="AO165" t="s">
        <v>1434</v>
      </c>
      <c r="AQ165" s="7" t="s">
        <v>585</v>
      </c>
    </row>
    <row r="166" spans="1:43">
      <c r="A166">
        <v>164</v>
      </c>
      <c r="B166">
        <v>5</v>
      </c>
      <c r="C166" t="s">
        <v>162</v>
      </c>
      <c r="G166">
        <v>2</v>
      </c>
      <c r="H166">
        <v>1</v>
      </c>
      <c r="I166">
        <v>2</v>
      </c>
      <c r="J166">
        <v>1</v>
      </c>
      <c r="K166">
        <v>2</v>
      </c>
      <c r="N166">
        <v>5</v>
      </c>
      <c r="P166">
        <v>1</v>
      </c>
      <c r="Q166">
        <v>1</v>
      </c>
      <c r="S166">
        <v>2</v>
      </c>
      <c r="T166">
        <v>2</v>
      </c>
      <c r="AG166">
        <v>4</v>
      </c>
      <c r="AO166" t="s">
        <v>1434</v>
      </c>
      <c r="AQ166" t="s">
        <v>617</v>
      </c>
    </row>
    <row r="167" spans="1:43">
      <c r="A167">
        <v>165</v>
      </c>
      <c r="B167">
        <v>5</v>
      </c>
      <c r="C167" t="s">
        <v>163</v>
      </c>
      <c r="G167">
        <v>3</v>
      </c>
      <c r="H167">
        <v>1</v>
      </c>
      <c r="I167">
        <v>1</v>
      </c>
      <c r="J167">
        <v>1</v>
      </c>
      <c r="K167">
        <v>2</v>
      </c>
      <c r="N167">
        <v>5</v>
      </c>
      <c r="P167">
        <v>1</v>
      </c>
      <c r="Q167">
        <v>1</v>
      </c>
      <c r="S167">
        <v>4</v>
      </c>
      <c r="T167">
        <v>2</v>
      </c>
      <c r="AG167">
        <v>5</v>
      </c>
      <c r="AO167" t="s">
        <v>1432</v>
      </c>
      <c r="AQ167" t="s">
        <v>617</v>
      </c>
    </row>
    <row r="168" spans="1:43" ht="14.25">
      <c r="A168">
        <v>166</v>
      </c>
      <c r="B168">
        <v>4</v>
      </c>
      <c r="C168" t="s">
        <v>164</v>
      </c>
      <c r="N168">
        <v>4</v>
      </c>
      <c r="P168">
        <v>1</v>
      </c>
      <c r="Q168">
        <v>2</v>
      </c>
      <c r="R168">
        <v>4</v>
      </c>
      <c r="S168">
        <v>1</v>
      </c>
      <c r="W168">
        <v>2</v>
      </c>
      <c r="AO168" t="s">
        <v>1432</v>
      </c>
      <c r="AQ168" s="7" t="s">
        <v>618</v>
      </c>
    </row>
    <row r="169" spans="1:43" ht="14.25">
      <c r="A169">
        <v>167</v>
      </c>
      <c r="B169">
        <v>4</v>
      </c>
      <c r="C169" t="s">
        <v>165</v>
      </c>
      <c r="N169">
        <v>4</v>
      </c>
      <c r="P169">
        <v>2</v>
      </c>
      <c r="Q169">
        <v>3</v>
      </c>
      <c r="R169">
        <v>5</v>
      </c>
      <c r="S169">
        <v>1</v>
      </c>
      <c r="W169">
        <v>1</v>
      </c>
      <c r="AO169" t="s">
        <v>1432</v>
      </c>
      <c r="AQ169" s="7" t="s">
        <v>619</v>
      </c>
    </row>
    <row r="170" spans="1:43" ht="14.25">
      <c r="A170">
        <v>168</v>
      </c>
      <c r="B170">
        <v>7</v>
      </c>
      <c r="C170" t="s">
        <v>166</v>
      </c>
      <c r="E170">
        <v>8</v>
      </c>
      <c r="F170">
        <v>10</v>
      </c>
      <c r="G170">
        <v>1</v>
      </c>
      <c r="H170">
        <v>2</v>
      </c>
      <c r="I170">
        <v>2</v>
      </c>
      <c r="N170">
        <v>7</v>
      </c>
      <c r="P170">
        <v>7</v>
      </c>
      <c r="Q170">
        <v>4</v>
      </c>
      <c r="S170">
        <v>12</v>
      </c>
      <c r="T170">
        <v>3</v>
      </c>
      <c r="AD170">
        <v>4</v>
      </c>
      <c r="AG170">
        <v>10</v>
      </c>
      <c r="AO170" t="s">
        <v>1432</v>
      </c>
      <c r="AQ170" s="10" t="s">
        <v>620</v>
      </c>
    </row>
    <row r="171" spans="1:43" ht="14.25">
      <c r="A171">
        <v>169</v>
      </c>
      <c r="B171">
        <v>7</v>
      </c>
      <c r="C171" t="s">
        <v>167</v>
      </c>
      <c r="E171">
        <v>10</v>
      </c>
      <c r="F171">
        <v>12</v>
      </c>
      <c r="G171">
        <v>2</v>
      </c>
      <c r="H171">
        <v>2</v>
      </c>
      <c r="I171">
        <v>3</v>
      </c>
      <c r="N171">
        <v>7</v>
      </c>
      <c r="P171">
        <v>8</v>
      </c>
      <c r="Q171">
        <v>5</v>
      </c>
      <c r="S171">
        <v>13</v>
      </c>
      <c r="T171">
        <v>3</v>
      </c>
      <c r="AD171">
        <v>4</v>
      </c>
      <c r="AG171">
        <v>12</v>
      </c>
      <c r="AO171" t="s">
        <v>1432</v>
      </c>
      <c r="AQ171" s="10" t="s">
        <v>620</v>
      </c>
    </row>
    <row r="172" spans="1:43" ht="14.25">
      <c r="A172">
        <v>170</v>
      </c>
      <c r="B172">
        <v>7</v>
      </c>
      <c r="C172" t="s">
        <v>168</v>
      </c>
      <c r="E172">
        <v>12</v>
      </c>
      <c r="F172">
        <v>13</v>
      </c>
      <c r="G172">
        <v>3</v>
      </c>
      <c r="H172">
        <v>2</v>
      </c>
      <c r="I172">
        <v>4</v>
      </c>
      <c r="J172">
        <v>1</v>
      </c>
      <c r="N172">
        <v>7</v>
      </c>
      <c r="P172">
        <v>8</v>
      </c>
      <c r="Q172">
        <v>5</v>
      </c>
      <c r="S172">
        <v>14</v>
      </c>
      <c r="T172">
        <v>3</v>
      </c>
      <c r="AD172">
        <v>4</v>
      </c>
      <c r="AG172">
        <v>1</v>
      </c>
      <c r="AO172" t="s">
        <v>1432</v>
      </c>
      <c r="AQ172" s="10" t="s">
        <v>620</v>
      </c>
    </row>
    <row r="173" spans="1:43">
      <c r="A173">
        <v>171</v>
      </c>
      <c r="B173">
        <v>8</v>
      </c>
      <c r="C173" t="s">
        <v>169</v>
      </c>
      <c r="F173">
        <v>1</v>
      </c>
      <c r="G173">
        <v>1</v>
      </c>
      <c r="H173">
        <v>1</v>
      </c>
      <c r="I173">
        <v>6</v>
      </c>
      <c r="J173">
        <v>2</v>
      </c>
      <c r="K173">
        <v>1</v>
      </c>
      <c r="N173">
        <v>8</v>
      </c>
      <c r="P173">
        <v>2</v>
      </c>
      <c r="Q173">
        <v>1</v>
      </c>
      <c r="S173">
        <v>2</v>
      </c>
      <c r="T173">
        <v>2</v>
      </c>
      <c r="AG173">
        <v>6</v>
      </c>
      <c r="AO173" t="s">
        <v>1419</v>
      </c>
      <c r="AQ173" s="7" t="s">
        <v>585</v>
      </c>
    </row>
    <row r="174" spans="1:43">
      <c r="A174">
        <v>172</v>
      </c>
      <c r="B174">
        <v>2</v>
      </c>
      <c r="C174" t="s">
        <v>170</v>
      </c>
      <c r="D174">
        <v>4</v>
      </c>
      <c r="G174">
        <v>9</v>
      </c>
      <c r="J174">
        <v>2</v>
      </c>
      <c r="K174">
        <v>1</v>
      </c>
      <c r="L174">
        <v>1</v>
      </c>
      <c r="M174">
        <v>1</v>
      </c>
      <c r="N174">
        <v>2</v>
      </c>
      <c r="Q174">
        <v>3</v>
      </c>
      <c r="R174">
        <v>4</v>
      </c>
      <c r="S174">
        <v>2</v>
      </c>
      <c r="Z174">
        <v>1</v>
      </c>
      <c r="AA174">
        <v>4</v>
      </c>
      <c r="AB174">
        <v>35</v>
      </c>
      <c r="AC174">
        <v>1</v>
      </c>
      <c r="AK174">
        <v>1</v>
      </c>
      <c r="AO174" t="s">
        <v>1419</v>
      </c>
      <c r="AQ174" s="8" t="s">
        <v>570</v>
      </c>
    </row>
    <row r="175" spans="1:43">
      <c r="A175">
        <v>173</v>
      </c>
      <c r="B175">
        <v>12</v>
      </c>
      <c r="C175" t="s">
        <v>171</v>
      </c>
      <c r="D175">
        <v>1</v>
      </c>
      <c r="G175">
        <v>10</v>
      </c>
      <c r="J175">
        <v>1</v>
      </c>
      <c r="K175">
        <v>2</v>
      </c>
      <c r="M175">
        <v>1</v>
      </c>
      <c r="N175">
        <v>12</v>
      </c>
      <c r="Q175">
        <v>6</v>
      </c>
      <c r="R175">
        <v>1</v>
      </c>
      <c r="S175">
        <v>3</v>
      </c>
      <c r="AC175">
        <v>2</v>
      </c>
      <c r="AO175" t="s">
        <v>1435</v>
      </c>
      <c r="AQ175" s="7" t="s">
        <v>577</v>
      </c>
    </row>
    <row r="176" spans="1:43">
      <c r="A176">
        <v>174</v>
      </c>
      <c r="B176">
        <v>3</v>
      </c>
      <c r="C176" t="s">
        <v>172</v>
      </c>
      <c r="E176">
        <v>3</v>
      </c>
      <c r="K176">
        <v>2</v>
      </c>
      <c r="L176">
        <v>1</v>
      </c>
      <c r="N176">
        <v>3</v>
      </c>
      <c r="P176">
        <v>1</v>
      </c>
      <c r="Q176">
        <v>1</v>
      </c>
      <c r="R176">
        <v>1</v>
      </c>
      <c r="AO176" t="s">
        <v>1432</v>
      </c>
      <c r="AQ176" s="7" t="s">
        <v>605</v>
      </c>
    </row>
    <row r="177" spans="1:43" ht="14.25">
      <c r="A177">
        <v>175</v>
      </c>
      <c r="B177">
        <v>5</v>
      </c>
      <c r="C177" t="s">
        <v>173</v>
      </c>
      <c r="G177">
        <v>6</v>
      </c>
      <c r="N177">
        <v>5</v>
      </c>
      <c r="P177">
        <v>3</v>
      </c>
      <c r="Q177">
        <v>2</v>
      </c>
      <c r="S177">
        <v>7</v>
      </c>
      <c r="T177">
        <v>3</v>
      </c>
      <c r="U177">
        <v>5</v>
      </c>
      <c r="V177">
        <v>2</v>
      </c>
      <c r="AG177">
        <v>6</v>
      </c>
      <c r="AO177" t="s">
        <v>1432</v>
      </c>
      <c r="AQ177" s="10" t="s">
        <v>620</v>
      </c>
    </row>
    <row r="178" spans="1:43" ht="14.25">
      <c r="A178">
        <v>176</v>
      </c>
      <c r="B178">
        <v>5</v>
      </c>
      <c r="C178" t="s">
        <v>174</v>
      </c>
      <c r="G178">
        <v>8</v>
      </c>
      <c r="N178">
        <v>5</v>
      </c>
      <c r="P178">
        <v>1</v>
      </c>
      <c r="Q178">
        <v>2</v>
      </c>
      <c r="S178">
        <v>6</v>
      </c>
      <c r="T178">
        <v>3</v>
      </c>
      <c r="U178">
        <v>1</v>
      </c>
      <c r="V178">
        <v>3</v>
      </c>
      <c r="AG178">
        <v>7</v>
      </c>
      <c r="AO178" t="s">
        <v>1432</v>
      </c>
      <c r="AQ178" s="10" t="s">
        <v>620</v>
      </c>
    </row>
    <row r="179" spans="1:43" ht="14.25">
      <c r="A179">
        <v>177</v>
      </c>
      <c r="B179">
        <v>5</v>
      </c>
      <c r="C179" t="s">
        <v>175</v>
      </c>
      <c r="G179">
        <v>9</v>
      </c>
      <c r="N179">
        <v>5</v>
      </c>
      <c r="P179">
        <v>1</v>
      </c>
      <c r="Q179">
        <v>2</v>
      </c>
      <c r="S179">
        <v>6</v>
      </c>
      <c r="T179">
        <v>3</v>
      </c>
      <c r="U179">
        <v>3</v>
      </c>
      <c r="V179">
        <v>4</v>
      </c>
      <c r="AG179">
        <v>7</v>
      </c>
      <c r="AO179" t="s">
        <v>1432</v>
      </c>
      <c r="AQ179" s="10" t="s">
        <v>620</v>
      </c>
    </row>
    <row r="180" spans="1:43" ht="14.25">
      <c r="A180">
        <v>178</v>
      </c>
      <c r="B180">
        <v>8</v>
      </c>
      <c r="C180" t="s">
        <v>176</v>
      </c>
      <c r="E180">
        <v>4</v>
      </c>
      <c r="F180">
        <v>6</v>
      </c>
      <c r="G180">
        <v>1</v>
      </c>
      <c r="H180">
        <v>2</v>
      </c>
      <c r="I180">
        <v>9</v>
      </c>
      <c r="J180">
        <v>2</v>
      </c>
      <c r="N180">
        <v>8</v>
      </c>
      <c r="P180">
        <v>8</v>
      </c>
      <c r="Q180">
        <v>2</v>
      </c>
      <c r="S180">
        <v>18</v>
      </c>
      <c r="T180">
        <v>2</v>
      </c>
      <c r="AD180">
        <v>3</v>
      </c>
      <c r="AG180">
        <v>13</v>
      </c>
      <c r="AO180" t="s">
        <v>1419</v>
      </c>
      <c r="AQ180" s="7" t="s">
        <v>611</v>
      </c>
    </row>
    <row r="181" spans="1:43">
      <c r="A181">
        <v>179</v>
      </c>
      <c r="B181">
        <v>3</v>
      </c>
      <c r="C181" t="s">
        <v>177</v>
      </c>
      <c r="E181">
        <v>14</v>
      </c>
      <c r="J181">
        <v>2</v>
      </c>
      <c r="L181">
        <v>1</v>
      </c>
      <c r="N181">
        <v>3</v>
      </c>
      <c r="P181">
        <v>2</v>
      </c>
      <c r="Q181">
        <v>4</v>
      </c>
      <c r="R181">
        <v>2</v>
      </c>
      <c r="AO181" t="s">
        <v>1432</v>
      </c>
      <c r="AQ181" s="7" t="s">
        <v>605</v>
      </c>
    </row>
    <row r="182" spans="1:43" ht="14.25">
      <c r="A182">
        <v>180</v>
      </c>
      <c r="B182">
        <v>7</v>
      </c>
      <c r="C182" t="s">
        <v>178</v>
      </c>
      <c r="E182">
        <v>11</v>
      </c>
      <c r="F182">
        <v>12</v>
      </c>
      <c r="G182">
        <v>3</v>
      </c>
      <c r="H182">
        <v>2</v>
      </c>
      <c r="I182">
        <v>4</v>
      </c>
      <c r="N182">
        <v>7</v>
      </c>
      <c r="P182">
        <v>8</v>
      </c>
      <c r="Q182">
        <v>5</v>
      </c>
      <c r="S182">
        <v>14</v>
      </c>
      <c r="T182">
        <v>3</v>
      </c>
      <c r="AD182">
        <v>4</v>
      </c>
      <c r="AG182">
        <v>12</v>
      </c>
      <c r="AO182" t="s">
        <v>1432</v>
      </c>
      <c r="AQ182" s="10" t="s">
        <v>620</v>
      </c>
    </row>
    <row r="183" spans="1:43">
      <c r="A183">
        <v>181</v>
      </c>
      <c r="B183">
        <v>5</v>
      </c>
      <c r="C183" t="s">
        <v>179</v>
      </c>
      <c r="G183">
        <v>5</v>
      </c>
      <c r="K183">
        <v>2</v>
      </c>
      <c r="N183">
        <v>5</v>
      </c>
      <c r="P183">
        <v>1</v>
      </c>
      <c r="Q183">
        <v>2</v>
      </c>
      <c r="S183">
        <v>2</v>
      </c>
      <c r="T183">
        <v>1</v>
      </c>
      <c r="AG183">
        <v>4</v>
      </c>
      <c r="AO183" t="s">
        <v>1432</v>
      </c>
      <c r="AQ183" s="7" t="s">
        <v>573</v>
      </c>
    </row>
    <row r="184" spans="1:43">
      <c r="A184">
        <v>182</v>
      </c>
      <c r="B184">
        <v>5</v>
      </c>
      <c r="C184" t="s">
        <v>180</v>
      </c>
      <c r="G184">
        <v>8</v>
      </c>
      <c r="J184">
        <v>1</v>
      </c>
      <c r="K184">
        <v>4</v>
      </c>
      <c r="N184">
        <v>5</v>
      </c>
      <c r="P184">
        <v>1</v>
      </c>
      <c r="Q184">
        <v>2</v>
      </c>
      <c r="S184">
        <v>2</v>
      </c>
      <c r="T184">
        <v>1</v>
      </c>
      <c r="AG184">
        <v>4</v>
      </c>
      <c r="AO184" t="s">
        <v>1432</v>
      </c>
      <c r="AQ184" s="7" t="s">
        <v>573</v>
      </c>
    </row>
    <row r="185" spans="1:43" ht="14.25">
      <c r="A185">
        <v>183</v>
      </c>
      <c r="B185">
        <v>1</v>
      </c>
      <c r="C185" t="s">
        <v>181</v>
      </c>
      <c r="D185">
        <v>24</v>
      </c>
      <c r="G185">
        <v>3</v>
      </c>
      <c r="J185">
        <v>7</v>
      </c>
      <c r="K185">
        <v>1</v>
      </c>
      <c r="L185">
        <v>3</v>
      </c>
      <c r="M185">
        <v>1</v>
      </c>
      <c r="N185">
        <v>1</v>
      </c>
      <c r="Q185">
        <v>20</v>
      </c>
      <c r="R185">
        <v>22</v>
      </c>
      <c r="S185">
        <v>18</v>
      </c>
      <c r="Z185">
        <v>4</v>
      </c>
      <c r="AK185">
        <v>13</v>
      </c>
      <c r="AO185" t="s">
        <v>1419</v>
      </c>
      <c r="AQ185" s="7" t="s">
        <v>610</v>
      </c>
    </row>
    <row r="186" spans="1:43">
      <c r="A186">
        <v>184</v>
      </c>
      <c r="B186">
        <v>5</v>
      </c>
      <c r="C186" t="s">
        <v>182</v>
      </c>
      <c r="D186">
        <v>3</v>
      </c>
      <c r="G186">
        <v>6</v>
      </c>
      <c r="K186">
        <v>2</v>
      </c>
      <c r="N186">
        <v>5</v>
      </c>
      <c r="P186">
        <v>1</v>
      </c>
      <c r="Q186">
        <v>2</v>
      </c>
      <c r="S186">
        <v>6</v>
      </c>
      <c r="T186">
        <v>1</v>
      </c>
      <c r="AG186">
        <v>6</v>
      </c>
      <c r="AO186" t="s">
        <v>1434</v>
      </c>
      <c r="AQ186" s="7" t="s">
        <v>573</v>
      </c>
    </row>
    <row r="187" spans="1:43" ht="14.25">
      <c r="A187">
        <v>185</v>
      </c>
      <c r="B187">
        <v>5</v>
      </c>
      <c r="C187" t="s">
        <v>183</v>
      </c>
      <c r="G187">
        <v>9</v>
      </c>
      <c r="N187">
        <v>5</v>
      </c>
      <c r="P187">
        <v>1</v>
      </c>
      <c r="Q187">
        <v>2</v>
      </c>
      <c r="S187">
        <v>6</v>
      </c>
      <c r="T187">
        <v>3</v>
      </c>
      <c r="U187">
        <v>2</v>
      </c>
      <c r="V187">
        <v>3</v>
      </c>
      <c r="AG187">
        <v>7</v>
      </c>
      <c r="AO187" t="s">
        <v>1432</v>
      </c>
      <c r="AQ187" s="10" t="s">
        <v>620</v>
      </c>
    </row>
    <row r="188" spans="1:43" ht="14.25">
      <c r="A188">
        <v>186</v>
      </c>
      <c r="B188">
        <v>7</v>
      </c>
      <c r="C188" t="s">
        <v>184</v>
      </c>
      <c r="E188">
        <v>11</v>
      </c>
      <c r="F188">
        <v>12</v>
      </c>
      <c r="G188">
        <v>4</v>
      </c>
      <c r="H188">
        <v>2</v>
      </c>
      <c r="I188">
        <v>4</v>
      </c>
      <c r="N188">
        <v>7</v>
      </c>
      <c r="P188">
        <v>8</v>
      </c>
      <c r="Q188">
        <v>6</v>
      </c>
      <c r="S188">
        <v>15</v>
      </c>
      <c r="T188">
        <v>3</v>
      </c>
      <c r="AD188">
        <v>4</v>
      </c>
      <c r="AG188">
        <v>12</v>
      </c>
      <c r="AO188" t="s">
        <v>1432</v>
      </c>
      <c r="AQ188" s="10" t="s">
        <v>620</v>
      </c>
    </row>
    <row r="189" spans="1:43" ht="14.25">
      <c r="A189">
        <v>187</v>
      </c>
      <c r="B189">
        <v>7</v>
      </c>
      <c r="C189" t="s">
        <v>185</v>
      </c>
      <c r="E189">
        <v>14</v>
      </c>
      <c r="F189">
        <v>14</v>
      </c>
      <c r="G189">
        <v>3</v>
      </c>
      <c r="H189">
        <v>3</v>
      </c>
      <c r="I189">
        <v>3</v>
      </c>
      <c r="J189">
        <v>1</v>
      </c>
      <c r="N189">
        <v>7</v>
      </c>
      <c r="P189">
        <v>9</v>
      </c>
      <c r="Q189">
        <v>6</v>
      </c>
      <c r="S189">
        <v>17</v>
      </c>
      <c r="T189">
        <v>3</v>
      </c>
      <c r="AD189">
        <v>4</v>
      </c>
      <c r="AG189">
        <v>13</v>
      </c>
      <c r="AO189" t="s">
        <v>1432</v>
      </c>
      <c r="AQ189" s="10" t="s">
        <v>620</v>
      </c>
    </row>
    <row r="190" spans="1:43">
      <c r="A190">
        <v>188</v>
      </c>
      <c r="B190">
        <v>7</v>
      </c>
      <c r="C190" t="s">
        <v>186</v>
      </c>
      <c r="E190">
        <v>4</v>
      </c>
      <c r="G190">
        <v>4</v>
      </c>
      <c r="K190">
        <v>2</v>
      </c>
      <c r="N190">
        <v>7</v>
      </c>
      <c r="P190">
        <v>1</v>
      </c>
      <c r="Q190">
        <v>3</v>
      </c>
      <c r="S190">
        <v>6</v>
      </c>
      <c r="T190">
        <v>1</v>
      </c>
      <c r="AD190">
        <v>5</v>
      </c>
      <c r="AG190">
        <v>6</v>
      </c>
      <c r="AO190" t="s">
        <v>1434</v>
      </c>
      <c r="AQ190" s="7" t="s">
        <v>572</v>
      </c>
    </row>
    <row r="191" spans="1:43">
      <c r="A191">
        <v>189</v>
      </c>
      <c r="B191">
        <v>5</v>
      </c>
      <c r="C191" t="s">
        <v>187</v>
      </c>
      <c r="D191">
        <v>1</v>
      </c>
      <c r="G191">
        <v>11</v>
      </c>
      <c r="K191">
        <v>3</v>
      </c>
      <c r="N191">
        <v>5</v>
      </c>
      <c r="P191">
        <v>2</v>
      </c>
      <c r="Q191">
        <v>3</v>
      </c>
      <c r="S191">
        <v>10</v>
      </c>
      <c r="T191">
        <v>1</v>
      </c>
      <c r="AG191">
        <v>6</v>
      </c>
      <c r="AO191" t="s">
        <v>1434</v>
      </c>
      <c r="AQ191" s="7" t="s">
        <v>573</v>
      </c>
    </row>
    <row r="192" spans="1:43" ht="14.25">
      <c r="A192">
        <v>190</v>
      </c>
      <c r="B192">
        <v>1</v>
      </c>
      <c r="C192" t="s">
        <v>188</v>
      </c>
      <c r="D192">
        <v>18</v>
      </c>
      <c r="G192">
        <v>1</v>
      </c>
      <c r="J192">
        <v>1</v>
      </c>
      <c r="L192">
        <v>3</v>
      </c>
      <c r="N192">
        <v>1</v>
      </c>
      <c r="Q192">
        <v>11</v>
      </c>
      <c r="R192">
        <v>18</v>
      </c>
      <c r="Z192">
        <v>4</v>
      </c>
      <c r="AK192">
        <v>10</v>
      </c>
      <c r="AO192" t="s">
        <v>1436</v>
      </c>
      <c r="AQ192" s="7" t="s">
        <v>600</v>
      </c>
    </row>
    <row r="193" spans="1:43">
      <c r="A193">
        <v>191</v>
      </c>
      <c r="B193">
        <v>12</v>
      </c>
      <c r="C193" t="s">
        <v>189</v>
      </c>
      <c r="D193">
        <v>1</v>
      </c>
      <c r="G193">
        <v>10</v>
      </c>
      <c r="N193">
        <v>12</v>
      </c>
      <c r="Q193">
        <v>6</v>
      </c>
      <c r="R193">
        <v>1</v>
      </c>
      <c r="S193">
        <v>2</v>
      </c>
      <c r="AC193">
        <v>2</v>
      </c>
      <c r="AO193" t="s">
        <v>1436</v>
      </c>
      <c r="AQ193" s="7" t="s">
        <v>577</v>
      </c>
    </row>
    <row r="194" spans="1:43" ht="14.25">
      <c r="A194">
        <v>192</v>
      </c>
      <c r="B194">
        <v>1</v>
      </c>
      <c r="C194" t="s">
        <v>190</v>
      </c>
      <c r="D194">
        <v>19</v>
      </c>
      <c r="G194">
        <v>3</v>
      </c>
      <c r="J194">
        <v>2</v>
      </c>
      <c r="L194">
        <v>3</v>
      </c>
      <c r="N194">
        <v>1</v>
      </c>
      <c r="Q194">
        <v>12</v>
      </c>
      <c r="R194">
        <v>19</v>
      </c>
      <c r="S194">
        <v>2</v>
      </c>
      <c r="Z194">
        <v>4</v>
      </c>
      <c r="AK194">
        <v>10</v>
      </c>
      <c r="AO194" t="s">
        <v>1436</v>
      </c>
      <c r="AQ194" s="7" t="s">
        <v>600</v>
      </c>
    </row>
    <row r="195" spans="1:43" ht="14.25">
      <c r="A195">
        <v>193</v>
      </c>
      <c r="B195">
        <v>4</v>
      </c>
      <c r="C195" t="s">
        <v>191</v>
      </c>
      <c r="N195">
        <v>4</v>
      </c>
      <c r="P195">
        <v>2</v>
      </c>
      <c r="Q195">
        <v>2</v>
      </c>
      <c r="S195">
        <v>1</v>
      </c>
      <c r="W195">
        <v>7</v>
      </c>
      <c r="AO195" t="s">
        <v>1432</v>
      </c>
      <c r="AQ195" s="7" t="s">
        <v>618</v>
      </c>
    </row>
    <row r="196" spans="1:43">
      <c r="A196">
        <v>194</v>
      </c>
      <c r="B196">
        <v>6</v>
      </c>
      <c r="C196" t="s">
        <v>192</v>
      </c>
      <c r="D196">
        <v>2</v>
      </c>
      <c r="E196">
        <v>4</v>
      </c>
      <c r="F196">
        <v>5</v>
      </c>
      <c r="G196">
        <v>1</v>
      </c>
      <c r="H196">
        <v>2</v>
      </c>
      <c r="I196">
        <v>4</v>
      </c>
      <c r="K196">
        <v>1</v>
      </c>
      <c r="N196">
        <v>6</v>
      </c>
      <c r="P196">
        <v>2</v>
      </c>
      <c r="Q196">
        <v>4</v>
      </c>
      <c r="S196">
        <v>5</v>
      </c>
      <c r="AG196">
        <v>7</v>
      </c>
      <c r="AO196" t="s">
        <v>1437</v>
      </c>
      <c r="AQ196" t="s">
        <v>576</v>
      </c>
    </row>
    <row r="197" spans="1:43">
      <c r="A197">
        <v>195</v>
      </c>
      <c r="B197">
        <v>6</v>
      </c>
      <c r="C197" t="s">
        <v>193</v>
      </c>
      <c r="D197">
        <v>1</v>
      </c>
      <c r="F197">
        <v>6</v>
      </c>
      <c r="G197">
        <v>2</v>
      </c>
      <c r="H197">
        <v>3</v>
      </c>
      <c r="I197">
        <v>2</v>
      </c>
      <c r="J197">
        <v>1</v>
      </c>
      <c r="K197">
        <v>2</v>
      </c>
      <c r="N197">
        <v>6</v>
      </c>
      <c r="P197">
        <v>1</v>
      </c>
      <c r="Q197">
        <v>3</v>
      </c>
      <c r="S197">
        <v>2</v>
      </c>
      <c r="AG197">
        <v>5</v>
      </c>
      <c r="AO197" t="s">
        <v>1419</v>
      </c>
      <c r="AQ197" s="7" t="s">
        <v>574</v>
      </c>
    </row>
    <row r="198" spans="1:43">
      <c r="A198">
        <v>196</v>
      </c>
      <c r="B198">
        <v>7</v>
      </c>
      <c r="C198" t="s">
        <v>194</v>
      </c>
      <c r="D198">
        <v>1</v>
      </c>
      <c r="E198">
        <v>5</v>
      </c>
      <c r="H198">
        <v>4</v>
      </c>
      <c r="I198">
        <v>2</v>
      </c>
      <c r="N198">
        <v>7</v>
      </c>
      <c r="P198">
        <v>1</v>
      </c>
      <c r="Q198">
        <v>4</v>
      </c>
      <c r="S198">
        <v>3</v>
      </c>
      <c r="AG198">
        <v>6</v>
      </c>
      <c r="AO198" t="s">
        <v>1419</v>
      </c>
      <c r="AQ198" s="7" t="s">
        <v>574</v>
      </c>
    </row>
    <row r="199" spans="1:43">
      <c r="A199">
        <v>197</v>
      </c>
      <c r="B199">
        <v>5</v>
      </c>
      <c r="C199" t="s">
        <v>195</v>
      </c>
      <c r="D199">
        <v>1</v>
      </c>
      <c r="G199">
        <v>4</v>
      </c>
      <c r="K199">
        <v>2</v>
      </c>
      <c r="N199">
        <v>5</v>
      </c>
      <c r="P199">
        <v>1</v>
      </c>
      <c r="Q199">
        <v>2</v>
      </c>
      <c r="S199">
        <v>2</v>
      </c>
      <c r="AG199">
        <v>5</v>
      </c>
      <c r="AO199" t="s">
        <v>1419</v>
      </c>
      <c r="AQ199" s="7" t="s">
        <v>574</v>
      </c>
    </row>
    <row r="200" spans="1:43">
      <c r="A200">
        <v>198</v>
      </c>
      <c r="B200">
        <v>5</v>
      </c>
      <c r="C200" t="s">
        <v>196</v>
      </c>
      <c r="D200">
        <v>1</v>
      </c>
      <c r="G200">
        <v>5</v>
      </c>
      <c r="I200">
        <v>1</v>
      </c>
      <c r="J200">
        <v>1</v>
      </c>
      <c r="K200">
        <v>2</v>
      </c>
      <c r="N200">
        <v>5</v>
      </c>
      <c r="P200">
        <v>1</v>
      </c>
      <c r="Q200">
        <v>3</v>
      </c>
      <c r="S200">
        <v>2</v>
      </c>
      <c r="AG200">
        <v>6</v>
      </c>
      <c r="AO200" t="s">
        <v>1419</v>
      </c>
      <c r="AQ200" s="7" t="s">
        <v>574</v>
      </c>
    </row>
    <row r="201" spans="1:43" ht="14.25">
      <c r="A201">
        <v>199</v>
      </c>
      <c r="B201">
        <v>6</v>
      </c>
      <c r="C201" t="s">
        <v>197</v>
      </c>
      <c r="F201">
        <v>15</v>
      </c>
      <c r="G201">
        <v>6</v>
      </c>
      <c r="I201">
        <v>3</v>
      </c>
      <c r="J201">
        <v>1</v>
      </c>
      <c r="L201">
        <v>3</v>
      </c>
      <c r="N201">
        <v>6</v>
      </c>
      <c r="P201">
        <v>7</v>
      </c>
      <c r="Q201">
        <v>5</v>
      </c>
      <c r="R201">
        <v>12</v>
      </c>
      <c r="S201">
        <v>16</v>
      </c>
      <c r="T201">
        <v>1</v>
      </c>
      <c r="AD201">
        <v>5</v>
      </c>
      <c r="AG201">
        <v>14</v>
      </c>
      <c r="AH201">
        <v>28</v>
      </c>
      <c r="AO201" t="s">
        <v>1432</v>
      </c>
      <c r="AQ201" s="7" t="s">
        <v>616</v>
      </c>
    </row>
    <row r="202" spans="1:43" ht="14.25">
      <c r="A202">
        <v>200</v>
      </c>
      <c r="B202">
        <v>6</v>
      </c>
      <c r="C202" t="s">
        <v>198</v>
      </c>
      <c r="F202">
        <v>11</v>
      </c>
      <c r="G202">
        <v>12</v>
      </c>
      <c r="K202">
        <v>1</v>
      </c>
      <c r="L202">
        <v>3</v>
      </c>
      <c r="N202">
        <v>6</v>
      </c>
      <c r="P202">
        <v>6</v>
      </c>
      <c r="Q202">
        <v>4</v>
      </c>
      <c r="R202">
        <v>10</v>
      </c>
      <c r="S202">
        <v>14</v>
      </c>
      <c r="T202">
        <v>1</v>
      </c>
      <c r="AD202">
        <v>5</v>
      </c>
      <c r="AG202">
        <v>13</v>
      </c>
      <c r="AH202">
        <v>26</v>
      </c>
      <c r="AO202" t="s">
        <v>1432</v>
      </c>
      <c r="AQ202" s="7" t="s">
        <v>616</v>
      </c>
    </row>
    <row r="203" spans="1:43">
      <c r="A203">
        <v>201</v>
      </c>
      <c r="AQ203" s="7"/>
    </row>
    <row r="204" spans="1:43">
      <c r="A204">
        <v>202</v>
      </c>
      <c r="AQ204" s="7"/>
    </row>
    <row r="205" spans="1:43">
      <c r="A205">
        <v>203</v>
      </c>
      <c r="B205">
        <v>17</v>
      </c>
      <c r="C205" t="s">
        <v>199</v>
      </c>
      <c r="K205">
        <v>-1</v>
      </c>
      <c r="M205">
        <v>8</v>
      </c>
      <c r="N205">
        <v>17</v>
      </c>
      <c r="R205">
        <v>24</v>
      </c>
      <c r="S205">
        <v>2</v>
      </c>
      <c r="AO205" t="s">
        <v>1432</v>
      </c>
      <c r="AQ205" s="7" t="s">
        <v>589</v>
      </c>
    </row>
    <row r="206" spans="1:43">
      <c r="A206">
        <v>204</v>
      </c>
      <c r="B206">
        <v>17</v>
      </c>
      <c r="C206" t="s">
        <v>200</v>
      </c>
      <c r="K206">
        <v>-2</v>
      </c>
      <c r="M206">
        <v>10</v>
      </c>
      <c r="N206">
        <v>17</v>
      </c>
      <c r="R206">
        <v>30</v>
      </c>
      <c r="S206">
        <v>3</v>
      </c>
      <c r="AO206" t="s">
        <v>1432</v>
      </c>
      <c r="AQ206" s="11" t="s">
        <v>590</v>
      </c>
    </row>
    <row r="207" spans="1:43">
      <c r="A207">
        <v>205</v>
      </c>
      <c r="B207">
        <v>5</v>
      </c>
      <c r="C207" t="s">
        <v>201</v>
      </c>
      <c r="D207">
        <v>1</v>
      </c>
      <c r="G207">
        <v>8</v>
      </c>
      <c r="I207">
        <v>1</v>
      </c>
      <c r="J207">
        <v>1</v>
      </c>
      <c r="K207">
        <v>2</v>
      </c>
      <c r="N207">
        <v>5</v>
      </c>
      <c r="P207">
        <v>1</v>
      </c>
      <c r="Q207">
        <v>2</v>
      </c>
      <c r="S207">
        <v>3</v>
      </c>
      <c r="T207">
        <v>1</v>
      </c>
      <c r="AG207">
        <v>8</v>
      </c>
      <c r="AO207" t="s">
        <v>1419</v>
      </c>
      <c r="AQ207" s="7" t="s">
        <v>574</v>
      </c>
    </row>
    <row r="208" spans="1:43">
      <c r="A208">
        <v>206</v>
      </c>
      <c r="B208">
        <v>5</v>
      </c>
      <c r="C208" t="s">
        <v>202</v>
      </c>
      <c r="D208">
        <v>1</v>
      </c>
      <c r="G208">
        <v>10</v>
      </c>
      <c r="I208">
        <v>1</v>
      </c>
      <c r="J208">
        <v>1</v>
      </c>
      <c r="K208">
        <v>3</v>
      </c>
      <c r="N208">
        <v>5</v>
      </c>
      <c r="P208">
        <v>2</v>
      </c>
      <c r="Q208">
        <v>4</v>
      </c>
      <c r="S208">
        <v>5</v>
      </c>
      <c r="T208">
        <v>1</v>
      </c>
      <c r="AG208">
        <v>8</v>
      </c>
      <c r="AO208" t="s">
        <v>1419</v>
      </c>
      <c r="AQ208" s="7" t="s">
        <v>574</v>
      </c>
    </row>
    <row r="209" spans="1:43" ht="14.25">
      <c r="A209">
        <v>207</v>
      </c>
      <c r="B209">
        <v>6</v>
      </c>
      <c r="C209" t="s">
        <v>203</v>
      </c>
      <c r="F209">
        <v>7</v>
      </c>
      <c r="G209">
        <v>1</v>
      </c>
      <c r="H209">
        <v>2</v>
      </c>
      <c r="I209">
        <v>4</v>
      </c>
      <c r="J209">
        <v>2</v>
      </c>
      <c r="N209">
        <v>6</v>
      </c>
      <c r="P209">
        <v>2</v>
      </c>
      <c r="Q209">
        <v>3</v>
      </c>
      <c r="S209">
        <v>5</v>
      </c>
      <c r="T209">
        <v>2</v>
      </c>
      <c r="AG209">
        <v>6</v>
      </c>
      <c r="AO209" t="s">
        <v>1432</v>
      </c>
      <c r="AP209" t="s">
        <v>551</v>
      </c>
      <c r="AQ209" t="s">
        <v>621</v>
      </c>
    </row>
    <row r="210" spans="1:43">
      <c r="A210">
        <v>208</v>
      </c>
      <c r="B210">
        <v>6</v>
      </c>
      <c r="C210" t="s">
        <v>204</v>
      </c>
      <c r="F210">
        <v>12</v>
      </c>
      <c r="H210">
        <v>3</v>
      </c>
      <c r="I210">
        <v>6</v>
      </c>
      <c r="J210">
        <v>2</v>
      </c>
      <c r="N210">
        <v>6</v>
      </c>
      <c r="P210">
        <v>4</v>
      </c>
      <c r="Q210">
        <v>5</v>
      </c>
      <c r="S210">
        <v>20</v>
      </c>
      <c r="T210">
        <v>2</v>
      </c>
      <c r="AG210">
        <v>10</v>
      </c>
      <c r="AO210" t="s">
        <v>1432</v>
      </c>
      <c r="AP210" t="s">
        <v>551</v>
      </c>
      <c r="AQ210" t="s">
        <v>576</v>
      </c>
    </row>
    <row r="211" spans="1:43">
      <c r="A211">
        <v>209</v>
      </c>
      <c r="C211" t="s">
        <v>627</v>
      </c>
      <c r="AO211" t="s">
        <v>1432</v>
      </c>
      <c r="AP211" t="s">
        <v>556</v>
      </c>
      <c r="AQ211" s="7"/>
    </row>
    <row r="212" spans="1:43" ht="14.25">
      <c r="A212">
        <v>210</v>
      </c>
      <c r="B212">
        <v>10</v>
      </c>
      <c r="C212" t="s">
        <v>205</v>
      </c>
      <c r="D212">
        <v>1</v>
      </c>
      <c r="G212">
        <v>1</v>
      </c>
      <c r="I212">
        <v>4</v>
      </c>
      <c r="J212">
        <v>2</v>
      </c>
      <c r="K212">
        <v>8</v>
      </c>
      <c r="N212">
        <v>10</v>
      </c>
      <c r="R212">
        <v>12</v>
      </c>
      <c r="S212">
        <v>13</v>
      </c>
      <c r="AJ212">
        <v>1</v>
      </c>
      <c r="AO212" t="s">
        <v>1432</v>
      </c>
      <c r="AQ212" s="7" t="s">
        <v>622</v>
      </c>
    </row>
    <row r="213" spans="1:43">
      <c r="A213">
        <v>211</v>
      </c>
      <c r="B213">
        <v>10</v>
      </c>
      <c r="C213" t="s">
        <v>206</v>
      </c>
      <c r="D213">
        <v>1</v>
      </c>
      <c r="G213">
        <v>1</v>
      </c>
      <c r="I213">
        <v>5</v>
      </c>
      <c r="J213">
        <v>3</v>
      </c>
      <c r="K213">
        <v>11</v>
      </c>
      <c r="N213">
        <v>10</v>
      </c>
      <c r="R213">
        <v>13</v>
      </c>
      <c r="S213">
        <v>15</v>
      </c>
      <c r="AJ213">
        <v>1</v>
      </c>
      <c r="AO213" t="s">
        <v>1432</v>
      </c>
      <c r="AQ213" s="7" t="s">
        <v>595</v>
      </c>
    </row>
    <row r="214" spans="1:43">
      <c r="A214">
        <v>212</v>
      </c>
      <c r="B214">
        <v>8</v>
      </c>
      <c r="C214" t="s">
        <v>207</v>
      </c>
      <c r="D214">
        <v>1</v>
      </c>
      <c r="I214">
        <v>10</v>
      </c>
      <c r="J214">
        <v>2</v>
      </c>
      <c r="N214">
        <v>8</v>
      </c>
      <c r="P214">
        <v>2</v>
      </c>
      <c r="S214">
        <v>11</v>
      </c>
      <c r="T214">
        <v>1</v>
      </c>
      <c r="AD214">
        <v>1</v>
      </c>
      <c r="AG214">
        <v>9</v>
      </c>
      <c r="AO214" t="s">
        <v>1432</v>
      </c>
      <c r="AQ214" s="7" t="s">
        <v>574</v>
      </c>
    </row>
    <row r="215" spans="1:43">
      <c r="A215">
        <v>213</v>
      </c>
      <c r="B215">
        <v>3</v>
      </c>
      <c r="C215" t="s">
        <v>208</v>
      </c>
      <c r="E215">
        <v>15</v>
      </c>
      <c r="J215">
        <v>3</v>
      </c>
      <c r="K215">
        <v>1</v>
      </c>
      <c r="L215">
        <v>1</v>
      </c>
      <c r="N215">
        <v>3</v>
      </c>
      <c r="P215">
        <v>2</v>
      </c>
      <c r="Q215">
        <v>3</v>
      </c>
      <c r="R215">
        <v>2</v>
      </c>
      <c r="S215">
        <v>1</v>
      </c>
      <c r="AJ215">
        <v>1</v>
      </c>
      <c r="AO215" t="s">
        <v>1432</v>
      </c>
      <c r="AQ215" s="7" t="s">
        <v>595</v>
      </c>
    </row>
    <row r="216" spans="1:43">
      <c r="A216">
        <v>214</v>
      </c>
      <c r="B216">
        <v>3</v>
      </c>
      <c r="C216" t="s">
        <v>209</v>
      </c>
      <c r="E216">
        <v>15</v>
      </c>
      <c r="I216">
        <v>1</v>
      </c>
      <c r="J216">
        <v>5</v>
      </c>
      <c r="K216">
        <v>4</v>
      </c>
      <c r="L216">
        <v>1</v>
      </c>
      <c r="N216">
        <v>3</v>
      </c>
      <c r="P216">
        <v>2</v>
      </c>
      <c r="Q216">
        <v>3</v>
      </c>
      <c r="R216">
        <v>3</v>
      </c>
      <c r="S216">
        <v>2</v>
      </c>
      <c r="AJ216">
        <v>1</v>
      </c>
      <c r="AO216" t="s">
        <v>1432</v>
      </c>
      <c r="AQ216" s="7" t="s">
        <v>595</v>
      </c>
    </row>
    <row r="217" spans="1:43">
      <c r="A217">
        <v>215</v>
      </c>
      <c r="B217">
        <v>5</v>
      </c>
      <c r="C217" t="s">
        <v>210</v>
      </c>
      <c r="G217">
        <v>3</v>
      </c>
      <c r="H217">
        <v>1</v>
      </c>
      <c r="I217">
        <v>3</v>
      </c>
      <c r="J217">
        <v>2</v>
      </c>
      <c r="K217">
        <v>2</v>
      </c>
      <c r="N217">
        <v>5</v>
      </c>
      <c r="P217">
        <v>1</v>
      </c>
      <c r="Q217">
        <v>1</v>
      </c>
      <c r="S217">
        <v>2</v>
      </c>
      <c r="T217">
        <v>2</v>
      </c>
      <c r="AG217">
        <v>4</v>
      </c>
      <c r="AO217" t="s">
        <v>1434</v>
      </c>
      <c r="AQ217" t="s">
        <v>617</v>
      </c>
    </row>
    <row r="218" spans="1:43">
      <c r="A218">
        <v>216</v>
      </c>
      <c r="B218">
        <v>5</v>
      </c>
      <c r="C218" t="s">
        <v>211</v>
      </c>
      <c r="G218">
        <v>5</v>
      </c>
      <c r="H218">
        <v>1</v>
      </c>
      <c r="I218">
        <v>1</v>
      </c>
      <c r="J218">
        <v>1</v>
      </c>
      <c r="K218">
        <v>2</v>
      </c>
      <c r="N218">
        <v>5</v>
      </c>
      <c r="P218">
        <v>1</v>
      </c>
      <c r="Q218">
        <v>1</v>
      </c>
      <c r="S218">
        <v>4</v>
      </c>
      <c r="T218">
        <v>2</v>
      </c>
      <c r="AG218">
        <v>5</v>
      </c>
      <c r="AO218" t="s">
        <v>1432</v>
      </c>
      <c r="AQ218" t="s">
        <v>617</v>
      </c>
    </row>
    <row r="219" spans="1:43">
      <c r="A219">
        <v>217</v>
      </c>
      <c r="B219">
        <v>5</v>
      </c>
      <c r="C219" t="s">
        <v>212</v>
      </c>
      <c r="G219">
        <v>5</v>
      </c>
      <c r="I219">
        <v>1</v>
      </c>
      <c r="K219">
        <v>3</v>
      </c>
      <c r="N219">
        <v>5</v>
      </c>
      <c r="P219">
        <v>1</v>
      </c>
      <c r="Q219">
        <v>1</v>
      </c>
      <c r="S219">
        <v>6</v>
      </c>
      <c r="T219">
        <v>2</v>
      </c>
      <c r="AG219">
        <v>6</v>
      </c>
      <c r="AO219" t="s">
        <v>1432</v>
      </c>
      <c r="AQ219" t="s">
        <v>617</v>
      </c>
    </row>
    <row r="220" spans="1:43">
      <c r="A220">
        <v>218</v>
      </c>
    </row>
    <row r="221" spans="1:43">
      <c r="A221">
        <v>219</v>
      </c>
      <c r="B221">
        <v>6</v>
      </c>
      <c r="C221" t="s">
        <v>213</v>
      </c>
      <c r="F221">
        <v>5</v>
      </c>
      <c r="G221">
        <v>5</v>
      </c>
      <c r="H221">
        <v>2</v>
      </c>
      <c r="N221">
        <v>6</v>
      </c>
      <c r="P221">
        <v>1</v>
      </c>
      <c r="Q221">
        <v>4</v>
      </c>
      <c r="S221">
        <v>4</v>
      </c>
      <c r="T221">
        <v>1</v>
      </c>
      <c r="AD221">
        <v>5</v>
      </c>
      <c r="AG221">
        <v>6</v>
      </c>
      <c r="AO221" t="s">
        <v>1432</v>
      </c>
      <c r="AQ221" t="s">
        <v>574</v>
      </c>
    </row>
    <row r="222" spans="1:43">
      <c r="A222">
        <v>220</v>
      </c>
      <c r="B222">
        <v>2</v>
      </c>
      <c r="C222" t="s">
        <v>214</v>
      </c>
      <c r="D222">
        <v>1</v>
      </c>
      <c r="G222">
        <v>7</v>
      </c>
      <c r="J222">
        <v>2</v>
      </c>
      <c r="K222">
        <v>1</v>
      </c>
      <c r="L222">
        <v>1</v>
      </c>
      <c r="N222">
        <v>2</v>
      </c>
      <c r="Q222">
        <v>2</v>
      </c>
      <c r="R222">
        <v>3</v>
      </c>
      <c r="S222">
        <v>2</v>
      </c>
      <c r="Z222">
        <v>1</v>
      </c>
      <c r="AA222">
        <v>6</v>
      </c>
      <c r="AB222">
        <v>35</v>
      </c>
      <c r="AC222">
        <v>3</v>
      </c>
      <c r="AK222">
        <v>1</v>
      </c>
      <c r="AO222" t="s">
        <v>1432</v>
      </c>
      <c r="AP222" t="s">
        <v>561</v>
      </c>
      <c r="AQ222" t="s">
        <v>570</v>
      </c>
    </row>
    <row r="223" spans="1:43" ht="14.25">
      <c r="A223">
        <v>221</v>
      </c>
      <c r="B223">
        <v>5</v>
      </c>
      <c r="C223" t="s">
        <v>215</v>
      </c>
      <c r="G223">
        <v>6</v>
      </c>
      <c r="N223">
        <v>5</v>
      </c>
      <c r="P223">
        <v>1</v>
      </c>
      <c r="Q223">
        <v>1</v>
      </c>
      <c r="S223">
        <v>3</v>
      </c>
      <c r="T223">
        <v>3</v>
      </c>
      <c r="V223">
        <v>2</v>
      </c>
      <c r="AG223">
        <v>4</v>
      </c>
      <c r="AO223" t="s">
        <v>1432</v>
      </c>
      <c r="AQ223" s="10" t="s">
        <v>620</v>
      </c>
    </row>
    <row r="224" spans="1:43" ht="14.25">
      <c r="A224">
        <v>222</v>
      </c>
      <c r="B224">
        <v>5</v>
      </c>
      <c r="C224" t="s">
        <v>216</v>
      </c>
      <c r="D224">
        <v>1</v>
      </c>
      <c r="G224">
        <v>7</v>
      </c>
      <c r="N224">
        <v>5</v>
      </c>
      <c r="P224">
        <v>1</v>
      </c>
      <c r="Q224">
        <v>1</v>
      </c>
      <c r="S224">
        <v>4</v>
      </c>
      <c r="T224">
        <v>3</v>
      </c>
      <c r="U224">
        <v>1</v>
      </c>
      <c r="V224">
        <v>3</v>
      </c>
      <c r="AO224" t="s">
        <v>1432</v>
      </c>
      <c r="AQ224" s="10" t="s">
        <v>620</v>
      </c>
    </row>
    <row r="225" spans="1:43" ht="14.25">
      <c r="A225">
        <v>223</v>
      </c>
      <c r="B225">
        <v>5</v>
      </c>
      <c r="C225" t="s">
        <v>217</v>
      </c>
      <c r="D225">
        <v>2</v>
      </c>
      <c r="G225">
        <v>8</v>
      </c>
      <c r="I225">
        <v>1</v>
      </c>
      <c r="N225">
        <v>5</v>
      </c>
      <c r="P225">
        <v>1</v>
      </c>
      <c r="Q225">
        <v>1</v>
      </c>
      <c r="S225">
        <v>4</v>
      </c>
      <c r="T225">
        <v>3</v>
      </c>
      <c r="U225">
        <v>1</v>
      </c>
      <c r="V225">
        <v>3</v>
      </c>
      <c r="AG225">
        <v>4</v>
      </c>
      <c r="AO225" t="s">
        <v>1432</v>
      </c>
      <c r="AQ225" s="10" t="s">
        <v>620</v>
      </c>
    </row>
    <row r="226" spans="1:43" ht="14.25">
      <c r="A226">
        <v>224</v>
      </c>
      <c r="B226">
        <v>6</v>
      </c>
      <c r="C226" t="s">
        <v>218</v>
      </c>
      <c r="D226">
        <v>3</v>
      </c>
      <c r="F226">
        <v>8</v>
      </c>
      <c r="G226">
        <v>6</v>
      </c>
      <c r="I226">
        <v>1</v>
      </c>
      <c r="J226">
        <v>3</v>
      </c>
      <c r="K226">
        <v>2</v>
      </c>
      <c r="N226">
        <v>6</v>
      </c>
      <c r="P226">
        <v>1</v>
      </c>
      <c r="Q226">
        <v>3</v>
      </c>
      <c r="S226">
        <v>5</v>
      </c>
      <c r="T226">
        <v>3</v>
      </c>
      <c r="AD226">
        <v>5</v>
      </c>
      <c r="AG226">
        <v>4</v>
      </c>
      <c r="AO226" t="s">
        <v>1432</v>
      </c>
      <c r="AQ226" s="10" t="s">
        <v>620</v>
      </c>
    </row>
    <row r="227" spans="1:43" ht="14.25">
      <c r="A227">
        <v>225</v>
      </c>
      <c r="B227">
        <v>5</v>
      </c>
      <c r="C227" t="s">
        <v>219</v>
      </c>
      <c r="D227">
        <v>1</v>
      </c>
      <c r="G227">
        <v>11</v>
      </c>
      <c r="I227">
        <v>1</v>
      </c>
      <c r="N227">
        <v>5</v>
      </c>
      <c r="P227">
        <v>1</v>
      </c>
      <c r="Q227">
        <v>2</v>
      </c>
      <c r="S227">
        <v>3</v>
      </c>
      <c r="T227">
        <v>3</v>
      </c>
      <c r="U227">
        <v>1</v>
      </c>
      <c r="V227">
        <v>5</v>
      </c>
      <c r="AG227">
        <v>4</v>
      </c>
      <c r="AO227" t="s">
        <v>1432</v>
      </c>
      <c r="AQ227" s="10" t="s">
        <v>620</v>
      </c>
    </row>
    <row r="228" spans="1:43" ht="14.25">
      <c r="A228">
        <v>226</v>
      </c>
      <c r="B228">
        <v>14</v>
      </c>
      <c r="C228" t="s">
        <v>220</v>
      </c>
      <c r="H228">
        <v>4</v>
      </c>
      <c r="N228">
        <v>14</v>
      </c>
      <c r="P228">
        <v>1</v>
      </c>
      <c r="Q228">
        <v>2</v>
      </c>
      <c r="S228">
        <v>1</v>
      </c>
      <c r="AL228">
        <v>9</v>
      </c>
      <c r="AO228" t="s">
        <v>1432</v>
      </c>
      <c r="AQ228" s="7" t="s">
        <v>623</v>
      </c>
    </row>
    <row r="229" spans="1:43" ht="14.25">
      <c r="A229">
        <v>227</v>
      </c>
      <c r="B229">
        <v>14</v>
      </c>
      <c r="C229" t="s">
        <v>221</v>
      </c>
      <c r="H229">
        <v>7</v>
      </c>
      <c r="N229">
        <v>14</v>
      </c>
      <c r="P229">
        <v>1</v>
      </c>
      <c r="Q229">
        <v>3</v>
      </c>
      <c r="S229">
        <v>1</v>
      </c>
      <c r="AL229">
        <v>9</v>
      </c>
      <c r="AO229" t="s">
        <v>1432</v>
      </c>
      <c r="AQ229" s="7" t="s">
        <v>623</v>
      </c>
    </row>
    <row r="230" spans="1:43">
      <c r="A230">
        <v>228</v>
      </c>
      <c r="B230">
        <v>5</v>
      </c>
      <c r="C230" t="s">
        <v>222</v>
      </c>
      <c r="G230">
        <v>4</v>
      </c>
      <c r="K230">
        <v>1</v>
      </c>
      <c r="N230">
        <v>5</v>
      </c>
      <c r="P230">
        <v>1</v>
      </c>
      <c r="Q230">
        <v>1</v>
      </c>
      <c r="S230">
        <v>2</v>
      </c>
      <c r="T230">
        <v>1</v>
      </c>
      <c r="AG230">
        <v>3</v>
      </c>
      <c r="AO230" t="s">
        <v>1432</v>
      </c>
      <c r="AQ230" s="7" t="s">
        <v>573</v>
      </c>
    </row>
    <row r="231" spans="1:43" ht="14.25">
      <c r="A231">
        <v>229</v>
      </c>
      <c r="B231">
        <v>1</v>
      </c>
      <c r="C231" t="s">
        <v>223</v>
      </c>
      <c r="D231">
        <v>1</v>
      </c>
      <c r="G231">
        <v>4</v>
      </c>
      <c r="H231">
        <v>1</v>
      </c>
      <c r="J231">
        <v>1</v>
      </c>
      <c r="K231">
        <v>1</v>
      </c>
      <c r="L231">
        <v>1</v>
      </c>
      <c r="N231">
        <v>1</v>
      </c>
      <c r="Q231">
        <v>1</v>
      </c>
      <c r="R231">
        <v>2</v>
      </c>
      <c r="Z231">
        <v>1</v>
      </c>
      <c r="AA231">
        <v>4</v>
      </c>
      <c r="AB231">
        <v>35</v>
      </c>
      <c r="AK231">
        <v>1</v>
      </c>
      <c r="AO231" t="s">
        <v>1432</v>
      </c>
      <c r="AQ231" s="7" t="s">
        <v>604</v>
      </c>
    </row>
    <row r="232" spans="1:43" ht="14.25">
      <c r="A232">
        <v>230</v>
      </c>
      <c r="B232">
        <v>4</v>
      </c>
      <c r="C232" t="s">
        <v>224</v>
      </c>
      <c r="N232">
        <v>4</v>
      </c>
      <c r="P232">
        <v>2</v>
      </c>
      <c r="Q232">
        <v>4</v>
      </c>
      <c r="R232">
        <v>5</v>
      </c>
      <c r="S232">
        <v>1</v>
      </c>
      <c r="AF232">
        <v>3</v>
      </c>
      <c r="AO232" t="s">
        <v>1432</v>
      </c>
      <c r="AQ232" s="7" t="s">
        <v>618</v>
      </c>
    </row>
    <row r="233" spans="1:43">
      <c r="A233">
        <v>231</v>
      </c>
      <c r="B233">
        <v>1</v>
      </c>
      <c r="C233" t="s">
        <v>225</v>
      </c>
      <c r="D233">
        <v>14</v>
      </c>
      <c r="J233">
        <v>1</v>
      </c>
      <c r="L233">
        <v>3</v>
      </c>
      <c r="M233">
        <v>1</v>
      </c>
      <c r="N233">
        <v>1</v>
      </c>
      <c r="Q233">
        <v>10</v>
      </c>
      <c r="R233">
        <v>15</v>
      </c>
      <c r="Z233">
        <v>4</v>
      </c>
      <c r="AK233">
        <v>9</v>
      </c>
      <c r="AO233" t="s">
        <v>1438</v>
      </c>
      <c r="AP233" t="s">
        <v>562</v>
      </c>
      <c r="AQ233" s="7" t="s">
        <v>624</v>
      </c>
    </row>
    <row r="234" spans="1:43">
      <c r="A234">
        <v>232</v>
      </c>
      <c r="B234">
        <v>1</v>
      </c>
      <c r="C234" t="s">
        <v>226</v>
      </c>
      <c r="D234">
        <v>15</v>
      </c>
      <c r="G234">
        <v>3</v>
      </c>
      <c r="J234">
        <v>3</v>
      </c>
      <c r="K234">
        <v>1</v>
      </c>
      <c r="L234">
        <v>3</v>
      </c>
      <c r="M234">
        <v>1</v>
      </c>
      <c r="N234">
        <v>1</v>
      </c>
      <c r="Q234">
        <v>10</v>
      </c>
      <c r="R234">
        <v>15</v>
      </c>
      <c r="Z234">
        <v>4</v>
      </c>
      <c r="AA234">
        <v>4</v>
      </c>
      <c r="AB234">
        <v>35</v>
      </c>
      <c r="AK234">
        <v>9</v>
      </c>
      <c r="AO234" t="s">
        <v>1438</v>
      </c>
      <c r="AP234" t="s">
        <v>562</v>
      </c>
      <c r="AQ234" s="7" t="s">
        <v>624</v>
      </c>
    </row>
    <row r="235" spans="1:43">
      <c r="A235">
        <v>233</v>
      </c>
      <c r="B235">
        <v>6</v>
      </c>
      <c r="C235" t="s">
        <v>227</v>
      </c>
      <c r="D235">
        <v>1</v>
      </c>
      <c r="F235">
        <v>7</v>
      </c>
      <c r="G235">
        <v>7</v>
      </c>
      <c r="H235">
        <v>1</v>
      </c>
      <c r="I235">
        <v>1</v>
      </c>
      <c r="K235">
        <v>1</v>
      </c>
      <c r="N235">
        <v>6</v>
      </c>
      <c r="P235">
        <v>2</v>
      </c>
      <c r="Q235">
        <v>6</v>
      </c>
      <c r="S235">
        <v>7</v>
      </c>
      <c r="T235">
        <v>1</v>
      </c>
      <c r="AD235">
        <v>5</v>
      </c>
      <c r="AG235">
        <v>9</v>
      </c>
      <c r="AO235" t="s">
        <v>1419</v>
      </c>
      <c r="AQ235" s="7" t="s">
        <v>574</v>
      </c>
    </row>
    <row r="236" spans="1:43">
      <c r="A236">
        <v>234</v>
      </c>
      <c r="B236">
        <v>2</v>
      </c>
      <c r="C236" t="s">
        <v>228</v>
      </c>
      <c r="D236">
        <v>7</v>
      </c>
      <c r="G236">
        <v>4</v>
      </c>
      <c r="J236">
        <v>3</v>
      </c>
      <c r="K236">
        <v>1</v>
      </c>
      <c r="L236">
        <v>2</v>
      </c>
      <c r="N236">
        <v>2</v>
      </c>
      <c r="Q236">
        <v>3</v>
      </c>
      <c r="R236">
        <v>6</v>
      </c>
      <c r="S236">
        <v>1</v>
      </c>
      <c r="Z236">
        <v>2</v>
      </c>
      <c r="AK236">
        <v>4</v>
      </c>
      <c r="AO236" t="s">
        <v>1432</v>
      </c>
      <c r="AQ236" s="8" t="s">
        <v>570</v>
      </c>
    </row>
    <row r="237" spans="1:43" ht="14.25">
      <c r="A237">
        <v>235</v>
      </c>
      <c r="B237">
        <v>1</v>
      </c>
      <c r="C237" t="s">
        <v>229</v>
      </c>
      <c r="D237">
        <v>7</v>
      </c>
      <c r="G237">
        <v>4</v>
      </c>
      <c r="J237">
        <v>2</v>
      </c>
      <c r="K237">
        <v>1</v>
      </c>
      <c r="L237">
        <v>2</v>
      </c>
      <c r="M237">
        <v>1</v>
      </c>
      <c r="N237">
        <v>1</v>
      </c>
      <c r="Q237">
        <v>3</v>
      </c>
      <c r="R237">
        <v>6</v>
      </c>
      <c r="S237">
        <v>1</v>
      </c>
      <c r="Z237">
        <v>2</v>
      </c>
      <c r="AK237">
        <v>4</v>
      </c>
      <c r="AO237" t="s">
        <v>1432</v>
      </c>
      <c r="AQ237" s="7" t="s">
        <v>625</v>
      </c>
    </row>
    <row r="238" spans="1:43" ht="14.25">
      <c r="A238">
        <v>236</v>
      </c>
      <c r="B238">
        <v>1</v>
      </c>
      <c r="C238" t="s">
        <v>230</v>
      </c>
      <c r="D238">
        <v>22</v>
      </c>
      <c r="G238">
        <v>6</v>
      </c>
      <c r="J238">
        <v>4</v>
      </c>
      <c r="L238">
        <v>3</v>
      </c>
      <c r="M238">
        <v>1</v>
      </c>
      <c r="N238">
        <v>1</v>
      </c>
      <c r="Q238">
        <v>18</v>
      </c>
      <c r="R238">
        <v>23</v>
      </c>
      <c r="S238">
        <v>4</v>
      </c>
      <c r="Z238">
        <v>4</v>
      </c>
      <c r="AK238">
        <v>13</v>
      </c>
      <c r="AO238" t="s">
        <v>1432</v>
      </c>
      <c r="AP238" t="s">
        <v>557</v>
      </c>
      <c r="AQ238" s="7" t="s">
        <v>610</v>
      </c>
    </row>
    <row r="239" spans="1:43">
      <c r="A239">
        <v>237</v>
      </c>
      <c r="B239">
        <v>6</v>
      </c>
      <c r="C239" t="s">
        <v>231</v>
      </c>
      <c r="F239">
        <v>9</v>
      </c>
      <c r="G239">
        <v>4</v>
      </c>
      <c r="H239">
        <v>6</v>
      </c>
      <c r="I239">
        <v>7</v>
      </c>
      <c r="J239">
        <v>1</v>
      </c>
      <c r="K239">
        <v>1</v>
      </c>
      <c r="N239">
        <v>6</v>
      </c>
      <c r="P239">
        <v>2</v>
      </c>
      <c r="Q239">
        <v>3</v>
      </c>
      <c r="S239">
        <v>5</v>
      </c>
      <c r="T239">
        <v>2</v>
      </c>
      <c r="AG239">
        <v>6</v>
      </c>
      <c r="AO239" t="s">
        <v>1432</v>
      </c>
      <c r="AQ239" s="7" t="s">
        <v>576</v>
      </c>
    </row>
    <row r="240" spans="1:43">
      <c r="A240">
        <v>238</v>
      </c>
      <c r="B240">
        <v>8</v>
      </c>
      <c r="C240" t="s">
        <v>232</v>
      </c>
      <c r="D240">
        <v>1</v>
      </c>
      <c r="G240">
        <v>1</v>
      </c>
      <c r="H240">
        <v>7</v>
      </c>
      <c r="I240">
        <v>6</v>
      </c>
      <c r="J240">
        <v>2</v>
      </c>
      <c r="N240">
        <v>8</v>
      </c>
      <c r="P240">
        <v>1</v>
      </c>
      <c r="Q240">
        <v>2</v>
      </c>
      <c r="S240">
        <v>3</v>
      </c>
      <c r="T240">
        <v>2</v>
      </c>
      <c r="AG240">
        <v>6</v>
      </c>
      <c r="AO240" t="s">
        <v>1432</v>
      </c>
      <c r="AQ240" s="7" t="s">
        <v>585</v>
      </c>
    </row>
    <row r="241" spans="1:43">
      <c r="A241">
        <v>239</v>
      </c>
      <c r="AQ241" s="7"/>
    </row>
    <row r="242" spans="1:43">
      <c r="A242">
        <v>240</v>
      </c>
      <c r="AQ242" s="7"/>
    </row>
    <row r="243" spans="1:43" ht="14.25">
      <c r="A243">
        <v>241</v>
      </c>
      <c r="B243">
        <v>16</v>
      </c>
      <c r="C243" t="s">
        <v>233</v>
      </c>
      <c r="N243">
        <v>16</v>
      </c>
      <c r="P243">
        <v>1</v>
      </c>
      <c r="S243">
        <v>1</v>
      </c>
      <c r="AQ243" s="2" t="s">
        <v>582</v>
      </c>
    </row>
    <row r="244" spans="1:43" ht="14.25">
      <c r="A244">
        <v>242</v>
      </c>
      <c r="B244">
        <v>7</v>
      </c>
      <c r="C244" t="s">
        <v>1446</v>
      </c>
      <c r="D244">
        <v>1</v>
      </c>
      <c r="E244">
        <v>4</v>
      </c>
      <c r="H244">
        <v>4</v>
      </c>
      <c r="I244">
        <v>1</v>
      </c>
      <c r="J244">
        <v>1</v>
      </c>
      <c r="N244">
        <v>7</v>
      </c>
      <c r="P244">
        <v>1</v>
      </c>
      <c r="Q244">
        <v>1</v>
      </c>
      <c r="S244">
        <v>1</v>
      </c>
      <c r="T244">
        <v>1</v>
      </c>
      <c r="AG244">
        <v>3</v>
      </c>
      <c r="AO244" t="s">
        <v>1436</v>
      </c>
      <c r="AP244" t="s">
        <v>558</v>
      </c>
      <c r="AQ244" s="7" t="s">
        <v>572</v>
      </c>
    </row>
    <row r="245" spans="1:43" ht="14.25">
      <c r="A245">
        <v>243</v>
      </c>
      <c r="B245">
        <v>7</v>
      </c>
      <c r="C245" t="s">
        <v>1441</v>
      </c>
      <c r="D245">
        <v>2</v>
      </c>
      <c r="E245">
        <v>6</v>
      </c>
      <c r="H245">
        <v>6</v>
      </c>
      <c r="I245">
        <v>2</v>
      </c>
      <c r="J245">
        <v>3</v>
      </c>
      <c r="N245">
        <v>7</v>
      </c>
      <c r="P245">
        <v>1</v>
      </c>
      <c r="Q245">
        <v>2</v>
      </c>
      <c r="S245">
        <v>1</v>
      </c>
      <c r="T245">
        <v>1</v>
      </c>
      <c r="AG245">
        <v>3</v>
      </c>
      <c r="AO245" t="s">
        <v>1436</v>
      </c>
      <c r="AP245" t="s">
        <v>558</v>
      </c>
      <c r="AQ245" s="7" t="s">
        <v>572</v>
      </c>
    </row>
    <row r="246" spans="1:43" s="9" customFormat="1">
      <c r="A246" s="9">
        <v>244</v>
      </c>
      <c r="B246" s="9">
        <v>7</v>
      </c>
      <c r="C246" s="9" t="s">
        <v>1410</v>
      </c>
      <c r="D246" s="9">
        <v>4</v>
      </c>
      <c r="E246" s="9">
        <v>8</v>
      </c>
      <c r="H246" s="9">
        <v>10</v>
      </c>
      <c r="I246" s="9">
        <v>5</v>
      </c>
      <c r="J246" s="9">
        <v>4</v>
      </c>
      <c r="N246" s="9">
        <v>7</v>
      </c>
      <c r="P246" s="9">
        <v>1</v>
      </c>
      <c r="Q246" s="9">
        <v>3</v>
      </c>
      <c r="S246" s="9">
        <v>2</v>
      </c>
      <c r="T246" s="9">
        <v>1</v>
      </c>
      <c r="AG246" s="9">
        <v>4</v>
      </c>
      <c r="AO246" s="9" t="s">
        <v>1436</v>
      </c>
      <c r="AQ246" s="11" t="s">
        <v>572</v>
      </c>
    </row>
    <row r="247" spans="1:43" s="9" customFormat="1">
      <c r="A247" s="9">
        <v>245</v>
      </c>
      <c r="B247" s="9">
        <v>1</v>
      </c>
      <c r="C247" s="9" t="s">
        <v>384</v>
      </c>
      <c r="D247" s="9">
        <v>21</v>
      </c>
      <c r="G247" s="9">
        <v>1</v>
      </c>
      <c r="J247" s="9">
        <v>1</v>
      </c>
      <c r="L247" s="9">
        <v>3</v>
      </c>
      <c r="N247" s="9">
        <v>1</v>
      </c>
      <c r="Q247" s="9">
        <v>20</v>
      </c>
      <c r="R247" s="9">
        <v>24</v>
      </c>
      <c r="S247" s="9">
        <v>3</v>
      </c>
      <c r="Z247" s="9">
        <v>4</v>
      </c>
      <c r="AK247" s="9">
        <v>10</v>
      </c>
      <c r="AO247" s="9" t="s">
        <v>1437</v>
      </c>
      <c r="AQ247" s="11" t="s">
        <v>634</v>
      </c>
    </row>
    <row r="248" spans="1:43" s="9" customFormat="1">
      <c r="A248" s="9">
        <v>246</v>
      </c>
      <c r="B248" s="9">
        <v>1</v>
      </c>
      <c r="C248" s="9" t="s">
        <v>1411</v>
      </c>
      <c r="D248" s="9">
        <v>22</v>
      </c>
      <c r="G248" s="9">
        <v>2</v>
      </c>
      <c r="J248" s="9">
        <v>3</v>
      </c>
      <c r="L248" s="9">
        <v>2</v>
      </c>
      <c r="M248" s="9">
        <v>1</v>
      </c>
      <c r="N248" s="9">
        <v>1</v>
      </c>
      <c r="Q248" s="9">
        <v>21</v>
      </c>
      <c r="R248" s="9">
        <v>24</v>
      </c>
      <c r="S248" s="9">
        <v>4</v>
      </c>
      <c r="Z248" s="9">
        <v>4</v>
      </c>
      <c r="AK248" s="9">
        <v>10</v>
      </c>
      <c r="AO248" s="9" t="s">
        <v>1437</v>
      </c>
      <c r="AQ248" s="11" t="s">
        <v>634</v>
      </c>
    </row>
    <row r="249" spans="1:43" s="9" customFormat="1">
      <c r="A249" s="9">
        <v>247</v>
      </c>
      <c r="B249" s="9">
        <v>2</v>
      </c>
      <c r="C249" s="9" t="s">
        <v>1412</v>
      </c>
      <c r="D249" s="9">
        <v>6</v>
      </c>
      <c r="G249" s="9">
        <v>1</v>
      </c>
      <c r="J249" s="9">
        <v>3</v>
      </c>
      <c r="L249" s="9">
        <v>2</v>
      </c>
      <c r="N249" s="9">
        <v>2</v>
      </c>
      <c r="Q249" s="9">
        <v>2</v>
      </c>
      <c r="R249" s="9">
        <v>5</v>
      </c>
      <c r="Z249" s="9">
        <v>2</v>
      </c>
      <c r="AK249" s="9">
        <v>3</v>
      </c>
      <c r="AO249" s="9" t="s">
        <v>1437</v>
      </c>
      <c r="AQ249" s="11" t="s">
        <v>570</v>
      </c>
    </row>
    <row r="250" spans="1:43" s="9" customFormat="1">
      <c r="A250" s="9">
        <v>248</v>
      </c>
      <c r="B250" s="9">
        <v>6</v>
      </c>
      <c r="C250" s="9" t="s">
        <v>367</v>
      </c>
      <c r="F250" s="9">
        <v>4</v>
      </c>
      <c r="G250" s="9">
        <v>2</v>
      </c>
      <c r="H250" s="9">
        <v>2</v>
      </c>
      <c r="K250" s="9">
        <v>2</v>
      </c>
      <c r="N250" s="9">
        <v>6</v>
      </c>
      <c r="P250" s="9">
        <v>1</v>
      </c>
      <c r="Q250" s="9">
        <v>2</v>
      </c>
      <c r="S250" s="9">
        <v>1</v>
      </c>
      <c r="T250" s="9">
        <v>1</v>
      </c>
      <c r="AG250" s="9">
        <v>4</v>
      </c>
      <c r="AO250" s="9" t="s">
        <v>1436</v>
      </c>
      <c r="AQ250" s="11" t="s">
        <v>574</v>
      </c>
    </row>
    <row r="251" spans="1:43" s="9" customFormat="1">
      <c r="A251" s="9">
        <v>249</v>
      </c>
      <c r="B251" s="9">
        <v>5</v>
      </c>
      <c r="C251" s="9" t="s">
        <v>368</v>
      </c>
      <c r="D251" s="9">
        <v>1</v>
      </c>
      <c r="G251" s="9">
        <v>5</v>
      </c>
      <c r="H251" s="9">
        <v>2</v>
      </c>
      <c r="I251" s="9">
        <v>1</v>
      </c>
      <c r="K251" s="9">
        <v>1</v>
      </c>
      <c r="N251" s="9">
        <v>5</v>
      </c>
      <c r="P251" s="9">
        <v>1</v>
      </c>
      <c r="Q251" s="9">
        <v>2</v>
      </c>
      <c r="S251" s="9">
        <v>2</v>
      </c>
      <c r="T251" s="9">
        <v>1</v>
      </c>
      <c r="AG251" s="9">
        <v>5</v>
      </c>
      <c r="AO251" s="9" t="s">
        <v>1436</v>
      </c>
      <c r="AP251" s="9" t="s">
        <v>558</v>
      </c>
      <c r="AQ251" s="11" t="s">
        <v>573</v>
      </c>
    </row>
    <row r="252" spans="1:43" s="9" customFormat="1" ht="14.25">
      <c r="A252" s="9">
        <v>250</v>
      </c>
      <c r="B252" s="9">
        <v>5</v>
      </c>
      <c r="C252" s="9" t="s">
        <v>1445</v>
      </c>
      <c r="D252" s="9">
        <v>1</v>
      </c>
      <c r="G252" s="9">
        <v>7</v>
      </c>
      <c r="N252" s="9">
        <v>5</v>
      </c>
      <c r="P252" s="9">
        <v>1</v>
      </c>
      <c r="Q252" s="9">
        <v>2</v>
      </c>
      <c r="S252" s="9">
        <v>4</v>
      </c>
      <c r="T252" s="9">
        <v>3</v>
      </c>
      <c r="U252" s="9">
        <v>2</v>
      </c>
      <c r="V252" s="9">
        <v>1</v>
      </c>
      <c r="AG252" s="9">
        <v>5</v>
      </c>
      <c r="AO252" s="9" t="s">
        <v>1436</v>
      </c>
      <c r="AQ252" s="11" t="s">
        <v>642</v>
      </c>
    </row>
    <row r="253" spans="1:43" s="9" customFormat="1">
      <c r="A253" s="9">
        <v>251</v>
      </c>
      <c r="B253" s="9">
        <v>5</v>
      </c>
      <c r="C253" s="9" t="s">
        <v>1413</v>
      </c>
      <c r="D253" s="9">
        <v>1</v>
      </c>
      <c r="G253" s="9">
        <v>9</v>
      </c>
      <c r="N253" s="9">
        <v>5</v>
      </c>
      <c r="P253" s="9">
        <v>1</v>
      </c>
      <c r="Q253" s="9">
        <v>2</v>
      </c>
      <c r="S253" s="9">
        <v>6</v>
      </c>
      <c r="T253" s="9">
        <v>3</v>
      </c>
      <c r="U253" s="9">
        <v>3</v>
      </c>
      <c r="V253" s="9">
        <v>2</v>
      </c>
      <c r="AG253" s="9">
        <v>5</v>
      </c>
      <c r="AO253" s="9" t="s">
        <v>1436</v>
      </c>
      <c r="AQ253" s="11" t="s">
        <v>642</v>
      </c>
    </row>
    <row r="254" spans="1:43" s="9" customFormat="1">
      <c r="A254" s="9">
        <v>252</v>
      </c>
      <c r="B254" s="9">
        <v>5</v>
      </c>
      <c r="C254" s="9" t="s">
        <v>1414</v>
      </c>
      <c r="D254" s="9">
        <v>1</v>
      </c>
      <c r="G254" s="9">
        <v>9</v>
      </c>
      <c r="J254" s="9">
        <v>1</v>
      </c>
      <c r="K254" s="9">
        <v>2</v>
      </c>
      <c r="M254" s="9">
        <v>1</v>
      </c>
      <c r="N254" s="9">
        <v>5</v>
      </c>
      <c r="P254" s="9">
        <v>1</v>
      </c>
      <c r="Q254" s="9">
        <v>2</v>
      </c>
      <c r="S254" s="9">
        <v>6</v>
      </c>
      <c r="T254" s="9">
        <v>1</v>
      </c>
      <c r="AG254" s="9">
        <v>6</v>
      </c>
      <c r="AO254" s="9" t="s">
        <v>1436</v>
      </c>
      <c r="AQ254" s="11" t="s">
        <v>573</v>
      </c>
    </row>
    <row r="255" spans="1:43" s="9" customFormat="1">
      <c r="A255" s="9">
        <v>253</v>
      </c>
      <c r="B255" s="9">
        <v>5</v>
      </c>
      <c r="C255" s="9" t="s">
        <v>1415</v>
      </c>
      <c r="D255" s="9">
        <v>1</v>
      </c>
      <c r="G255" s="9">
        <v>10</v>
      </c>
      <c r="N255" s="9">
        <v>5</v>
      </c>
      <c r="P255" s="9">
        <v>2</v>
      </c>
      <c r="Q255" s="9">
        <v>2</v>
      </c>
      <c r="S255" s="9">
        <v>7</v>
      </c>
      <c r="T255" s="9">
        <v>3</v>
      </c>
      <c r="U255" s="9">
        <v>2</v>
      </c>
      <c r="V255" s="9">
        <v>4</v>
      </c>
      <c r="AG255" s="9">
        <v>6</v>
      </c>
      <c r="AO255" s="9" t="s">
        <v>1436</v>
      </c>
      <c r="AQ255" s="11" t="s">
        <v>642</v>
      </c>
    </row>
    <row r="256" spans="1:43">
      <c r="AQ256" s="7"/>
    </row>
    <row r="257" spans="1:43">
      <c r="A257">
        <v>501</v>
      </c>
      <c r="B257">
        <v>1</v>
      </c>
      <c r="C257" t="s">
        <v>234</v>
      </c>
      <c r="D257">
        <v>1</v>
      </c>
      <c r="L257">
        <v>1</v>
      </c>
      <c r="N257">
        <v>1</v>
      </c>
      <c r="Q257">
        <v>2</v>
      </c>
      <c r="R257">
        <v>2</v>
      </c>
      <c r="Z257">
        <v>1</v>
      </c>
      <c r="AK257">
        <v>1</v>
      </c>
      <c r="AQ257" t="s">
        <v>628</v>
      </c>
    </row>
    <row r="258" spans="1:43">
      <c r="A258">
        <v>502</v>
      </c>
      <c r="B258">
        <v>1</v>
      </c>
      <c r="C258" t="s">
        <v>235</v>
      </c>
      <c r="D258">
        <v>2</v>
      </c>
      <c r="L258">
        <v>1</v>
      </c>
      <c r="N258">
        <v>1</v>
      </c>
      <c r="Q258">
        <v>2</v>
      </c>
      <c r="R258">
        <v>3</v>
      </c>
      <c r="Z258">
        <v>1</v>
      </c>
      <c r="AK258">
        <v>1</v>
      </c>
      <c r="AQ258" t="s">
        <v>628</v>
      </c>
    </row>
    <row r="259" spans="1:43">
      <c r="A259">
        <v>503</v>
      </c>
      <c r="B259">
        <v>1</v>
      </c>
      <c r="C259" t="s">
        <v>236</v>
      </c>
      <c r="D259">
        <v>1</v>
      </c>
      <c r="G259">
        <v>1</v>
      </c>
      <c r="L259">
        <v>1</v>
      </c>
      <c r="N259">
        <v>1</v>
      </c>
      <c r="Q259">
        <v>2</v>
      </c>
      <c r="R259">
        <v>4</v>
      </c>
      <c r="Z259">
        <v>1</v>
      </c>
      <c r="AA259">
        <v>4</v>
      </c>
      <c r="AB259">
        <v>35</v>
      </c>
      <c r="AK259">
        <v>1</v>
      </c>
      <c r="AP259" s="12" t="s">
        <v>646</v>
      </c>
      <c r="AQ259" t="s">
        <v>629</v>
      </c>
    </row>
    <row r="260" spans="1:43">
      <c r="A260">
        <v>504</v>
      </c>
      <c r="B260">
        <v>1</v>
      </c>
      <c r="C260" t="s">
        <v>237</v>
      </c>
      <c r="D260">
        <v>2</v>
      </c>
      <c r="G260">
        <v>2</v>
      </c>
      <c r="L260">
        <v>2</v>
      </c>
      <c r="N260">
        <v>1</v>
      </c>
      <c r="Q260">
        <v>3</v>
      </c>
      <c r="R260">
        <v>3</v>
      </c>
      <c r="Z260">
        <v>1</v>
      </c>
      <c r="AA260">
        <v>4</v>
      </c>
      <c r="AB260">
        <v>35</v>
      </c>
      <c r="AK260">
        <v>2</v>
      </c>
      <c r="AQ260" t="s">
        <v>630</v>
      </c>
    </row>
    <row r="261" spans="1:43">
      <c r="A261">
        <v>505</v>
      </c>
      <c r="B261">
        <v>1</v>
      </c>
      <c r="C261" t="s">
        <v>238</v>
      </c>
      <c r="D261">
        <v>8</v>
      </c>
      <c r="G261">
        <v>2</v>
      </c>
      <c r="L261">
        <v>2</v>
      </c>
      <c r="N261">
        <v>1</v>
      </c>
      <c r="Q261">
        <v>4</v>
      </c>
      <c r="R261">
        <v>5</v>
      </c>
      <c r="Z261">
        <v>3</v>
      </c>
      <c r="AK261">
        <v>8</v>
      </c>
      <c r="AQ261" t="s">
        <v>631</v>
      </c>
    </row>
    <row r="262" spans="1:43">
      <c r="A262">
        <v>506</v>
      </c>
      <c r="B262">
        <v>1</v>
      </c>
      <c r="C262" t="s">
        <v>239</v>
      </c>
      <c r="D262">
        <v>3</v>
      </c>
      <c r="G262">
        <v>3</v>
      </c>
      <c r="L262">
        <v>2</v>
      </c>
      <c r="N262">
        <v>1</v>
      </c>
      <c r="Q262">
        <v>4</v>
      </c>
      <c r="R262">
        <v>4</v>
      </c>
      <c r="Z262">
        <v>2</v>
      </c>
      <c r="AK262">
        <v>3</v>
      </c>
      <c r="AQ262" t="s">
        <v>632</v>
      </c>
    </row>
    <row r="263" spans="1:43">
      <c r="A263">
        <v>507</v>
      </c>
      <c r="B263">
        <v>1</v>
      </c>
      <c r="C263" t="s">
        <v>240</v>
      </c>
      <c r="D263">
        <v>10</v>
      </c>
      <c r="G263">
        <v>4</v>
      </c>
      <c r="L263">
        <v>3</v>
      </c>
      <c r="N263">
        <v>1</v>
      </c>
      <c r="Q263">
        <v>10</v>
      </c>
      <c r="R263">
        <v>15</v>
      </c>
      <c r="Z263">
        <v>4</v>
      </c>
      <c r="AK263">
        <v>10</v>
      </c>
      <c r="AQ263" t="s">
        <v>633</v>
      </c>
    </row>
    <row r="264" spans="1:43">
      <c r="A264">
        <v>508</v>
      </c>
      <c r="B264">
        <v>1</v>
      </c>
      <c r="C264" t="s">
        <v>241</v>
      </c>
      <c r="D264">
        <v>15</v>
      </c>
      <c r="G264">
        <v>4</v>
      </c>
      <c r="L264">
        <v>3</v>
      </c>
      <c r="N264">
        <v>1</v>
      </c>
      <c r="Q264">
        <v>17</v>
      </c>
      <c r="R264">
        <v>22</v>
      </c>
      <c r="Z264">
        <v>4</v>
      </c>
      <c r="AK264">
        <v>12</v>
      </c>
      <c r="AQ264" t="s">
        <v>633</v>
      </c>
    </row>
    <row r="265" spans="1:43">
      <c r="A265">
        <v>509</v>
      </c>
      <c r="B265">
        <v>1</v>
      </c>
      <c r="C265" t="s">
        <v>242</v>
      </c>
      <c r="D265">
        <v>20</v>
      </c>
      <c r="G265">
        <v>5</v>
      </c>
      <c r="L265">
        <v>3</v>
      </c>
      <c r="N265">
        <v>1</v>
      </c>
      <c r="Q265">
        <v>20</v>
      </c>
      <c r="R265">
        <v>25</v>
      </c>
      <c r="S265">
        <v>1</v>
      </c>
      <c r="Z265">
        <v>4</v>
      </c>
      <c r="AK265">
        <v>13</v>
      </c>
      <c r="AQ265" t="s">
        <v>634</v>
      </c>
    </row>
    <row r="266" spans="1:43">
      <c r="A266">
        <v>510</v>
      </c>
      <c r="B266">
        <v>2</v>
      </c>
      <c r="C266" t="s">
        <v>237</v>
      </c>
      <c r="D266">
        <v>1</v>
      </c>
      <c r="G266">
        <v>2</v>
      </c>
      <c r="L266">
        <v>1</v>
      </c>
      <c r="N266">
        <v>2</v>
      </c>
      <c r="Q266">
        <v>2</v>
      </c>
      <c r="R266">
        <v>3</v>
      </c>
      <c r="Z266">
        <v>1</v>
      </c>
      <c r="AA266">
        <v>4</v>
      </c>
      <c r="AB266">
        <v>35</v>
      </c>
      <c r="AK266">
        <v>1</v>
      </c>
      <c r="AQ266" t="s">
        <v>570</v>
      </c>
    </row>
    <row r="267" spans="1:43">
      <c r="A267">
        <v>511</v>
      </c>
      <c r="B267">
        <v>2</v>
      </c>
      <c r="C267" t="s">
        <v>243</v>
      </c>
      <c r="D267">
        <v>1</v>
      </c>
      <c r="L267">
        <v>2</v>
      </c>
      <c r="N267">
        <v>2</v>
      </c>
      <c r="Q267">
        <v>2</v>
      </c>
      <c r="R267">
        <v>2</v>
      </c>
      <c r="Z267">
        <v>2</v>
      </c>
      <c r="AK267">
        <v>2</v>
      </c>
      <c r="AQ267" t="s">
        <v>570</v>
      </c>
    </row>
    <row r="268" spans="1:43">
      <c r="A268">
        <v>512</v>
      </c>
      <c r="B268">
        <v>2</v>
      </c>
      <c r="C268" t="s">
        <v>244</v>
      </c>
      <c r="D268">
        <v>7</v>
      </c>
      <c r="G268">
        <v>3</v>
      </c>
      <c r="L268">
        <v>2</v>
      </c>
      <c r="N268">
        <v>2</v>
      </c>
      <c r="Q268">
        <v>3</v>
      </c>
      <c r="R268">
        <v>6</v>
      </c>
      <c r="Z268">
        <v>1</v>
      </c>
      <c r="AK268">
        <v>1</v>
      </c>
      <c r="AQ268" t="s">
        <v>570</v>
      </c>
    </row>
    <row r="269" spans="1:43">
      <c r="A269">
        <v>513</v>
      </c>
      <c r="B269">
        <v>3</v>
      </c>
      <c r="C269" t="s">
        <v>245</v>
      </c>
      <c r="E269">
        <v>2</v>
      </c>
      <c r="L269">
        <v>1</v>
      </c>
      <c r="N269">
        <v>3</v>
      </c>
      <c r="P269">
        <v>1</v>
      </c>
      <c r="Q269">
        <v>1</v>
      </c>
      <c r="R269">
        <v>1</v>
      </c>
      <c r="AQ269" t="s">
        <v>635</v>
      </c>
    </row>
    <row r="270" spans="1:43">
      <c r="A270">
        <v>514</v>
      </c>
      <c r="B270">
        <v>3</v>
      </c>
      <c r="C270" t="s">
        <v>246</v>
      </c>
      <c r="E270">
        <v>5</v>
      </c>
      <c r="L270">
        <v>1</v>
      </c>
      <c r="N270">
        <v>3</v>
      </c>
      <c r="P270">
        <v>1</v>
      </c>
      <c r="Q270">
        <v>2</v>
      </c>
      <c r="R270">
        <v>2</v>
      </c>
      <c r="AQ270" t="s">
        <v>635</v>
      </c>
    </row>
    <row r="271" spans="1:43">
      <c r="A271">
        <v>515</v>
      </c>
      <c r="B271">
        <v>3</v>
      </c>
      <c r="C271" t="s">
        <v>247</v>
      </c>
      <c r="E271">
        <v>10</v>
      </c>
      <c r="L271">
        <v>1</v>
      </c>
      <c r="N271">
        <v>3</v>
      </c>
      <c r="P271">
        <v>3</v>
      </c>
      <c r="Q271">
        <v>3</v>
      </c>
      <c r="R271">
        <v>3</v>
      </c>
      <c r="AQ271" t="s">
        <v>635</v>
      </c>
    </row>
    <row r="272" spans="1:43">
      <c r="A272">
        <v>516</v>
      </c>
      <c r="B272">
        <v>7</v>
      </c>
      <c r="C272" t="s">
        <v>248</v>
      </c>
      <c r="E272">
        <v>4</v>
      </c>
      <c r="H272">
        <v>2</v>
      </c>
      <c r="I272">
        <v>5</v>
      </c>
      <c r="N272">
        <v>7</v>
      </c>
      <c r="P272">
        <v>2</v>
      </c>
      <c r="Q272">
        <v>3</v>
      </c>
      <c r="S272">
        <v>3</v>
      </c>
      <c r="T272">
        <v>1</v>
      </c>
      <c r="AG272">
        <v>5</v>
      </c>
      <c r="AQ272" t="s">
        <v>572</v>
      </c>
    </row>
    <row r="273" spans="1:43">
      <c r="A273">
        <v>517</v>
      </c>
      <c r="B273">
        <v>7</v>
      </c>
      <c r="C273" t="s">
        <v>249</v>
      </c>
      <c r="E273">
        <v>6</v>
      </c>
      <c r="H273">
        <v>4</v>
      </c>
      <c r="I273">
        <v>5</v>
      </c>
      <c r="N273">
        <v>7</v>
      </c>
      <c r="P273">
        <v>2</v>
      </c>
      <c r="Q273">
        <v>5</v>
      </c>
      <c r="S273">
        <v>6</v>
      </c>
      <c r="T273">
        <v>1</v>
      </c>
      <c r="AG273">
        <v>6</v>
      </c>
      <c r="AQ273" t="s">
        <v>572</v>
      </c>
    </row>
    <row r="274" spans="1:43">
      <c r="A274">
        <v>518</v>
      </c>
      <c r="B274">
        <v>7</v>
      </c>
      <c r="C274" t="s">
        <v>250</v>
      </c>
      <c r="E274">
        <v>11</v>
      </c>
      <c r="G274">
        <v>4</v>
      </c>
      <c r="H274">
        <v>7</v>
      </c>
      <c r="I274">
        <v>5</v>
      </c>
      <c r="N274">
        <v>7</v>
      </c>
      <c r="P274">
        <v>2</v>
      </c>
      <c r="Q274">
        <v>6</v>
      </c>
      <c r="S274">
        <v>10</v>
      </c>
      <c r="T274">
        <v>1</v>
      </c>
      <c r="AG274">
        <v>7</v>
      </c>
      <c r="AQ274" t="s">
        <v>572</v>
      </c>
    </row>
    <row r="275" spans="1:43">
      <c r="A275">
        <v>519</v>
      </c>
      <c r="B275">
        <v>5</v>
      </c>
      <c r="C275" t="s">
        <v>251</v>
      </c>
      <c r="G275">
        <v>2</v>
      </c>
      <c r="N275">
        <v>5</v>
      </c>
      <c r="P275">
        <v>2</v>
      </c>
      <c r="Q275">
        <v>2</v>
      </c>
      <c r="S275">
        <v>2</v>
      </c>
      <c r="T275">
        <v>1</v>
      </c>
      <c r="AG275">
        <v>3</v>
      </c>
      <c r="AQ275" t="s">
        <v>573</v>
      </c>
    </row>
    <row r="276" spans="1:43">
      <c r="A276">
        <v>520</v>
      </c>
      <c r="B276">
        <v>5</v>
      </c>
      <c r="C276" t="s">
        <v>252</v>
      </c>
      <c r="G276">
        <v>5</v>
      </c>
      <c r="N276">
        <v>5</v>
      </c>
      <c r="P276">
        <v>2</v>
      </c>
      <c r="Q276">
        <v>2</v>
      </c>
      <c r="R276">
        <v>1</v>
      </c>
      <c r="S276">
        <v>3</v>
      </c>
      <c r="T276">
        <v>1</v>
      </c>
      <c r="AG276">
        <v>4</v>
      </c>
      <c r="AQ276" t="s">
        <v>573</v>
      </c>
    </row>
    <row r="277" spans="1:43">
      <c r="A277">
        <v>521</v>
      </c>
      <c r="B277">
        <v>5</v>
      </c>
      <c r="C277" t="s">
        <v>253</v>
      </c>
      <c r="G277">
        <v>9</v>
      </c>
      <c r="N277">
        <v>5</v>
      </c>
      <c r="P277">
        <v>3</v>
      </c>
      <c r="Q277">
        <v>3</v>
      </c>
      <c r="R277">
        <v>1</v>
      </c>
      <c r="S277">
        <v>8</v>
      </c>
      <c r="T277">
        <v>1</v>
      </c>
      <c r="AG277">
        <v>6</v>
      </c>
      <c r="AQ277" t="s">
        <v>573</v>
      </c>
    </row>
    <row r="278" spans="1:43">
      <c r="A278">
        <v>522</v>
      </c>
      <c r="B278">
        <v>5</v>
      </c>
      <c r="C278" t="s">
        <v>254</v>
      </c>
      <c r="G278">
        <v>13</v>
      </c>
      <c r="N278">
        <v>5</v>
      </c>
      <c r="P278">
        <v>3</v>
      </c>
      <c r="Q278">
        <v>3</v>
      </c>
      <c r="R278">
        <v>1</v>
      </c>
      <c r="S278">
        <v>11</v>
      </c>
      <c r="T278">
        <v>1</v>
      </c>
      <c r="AG278">
        <v>8</v>
      </c>
      <c r="AQ278" t="s">
        <v>573</v>
      </c>
    </row>
    <row r="279" spans="1:43">
      <c r="A279">
        <v>523</v>
      </c>
      <c r="B279">
        <v>6</v>
      </c>
      <c r="C279" t="s">
        <v>255</v>
      </c>
      <c r="F279">
        <v>3</v>
      </c>
      <c r="H279">
        <v>1</v>
      </c>
      <c r="N279">
        <v>6</v>
      </c>
      <c r="P279">
        <v>1</v>
      </c>
      <c r="Q279">
        <v>1</v>
      </c>
      <c r="S279">
        <v>2</v>
      </c>
      <c r="T279">
        <v>1</v>
      </c>
      <c r="AG279">
        <v>4</v>
      </c>
      <c r="AQ279" t="s">
        <v>574</v>
      </c>
    </row>
    <row r="280" spans="1:43">
      <c r="A280">
        <v>524</v>
      </c>
      <c r="B280">
        <v>6</v>
      </c>
      <c r="C280" t="s">
        <v>256</v>
      </c>
      <c r="F280">
        <v>6</v>
      </c>
      <c r="H280">
        <v>2</v>
      </c>
      <c r="N280">
        <v>6</v>
      </c>
      <c r="P280">
        <v>2</v>
      </c>
      <c r="Q280">
        <v>3</v>
      </c>
      <c r="S280">
        <v>3</v>
      </c>
      <c r="T280">
        <v>1</v>
      </c>
      <c r="AG280">
        <v>5</v>
      </c>
      <c r="AQ280" t="s">
        <v>574</v>
      </c>
    </row>
    <row r="281" spans="1:43">
      <c r="A281">
        <v>525</v>
      </c>
      <c r="B281">
        <v>8</v>
      </c>
      <c r="C281" t="s">
        <v>257</v>
      </c>
      <c r="F281">
        <v>1</v>
      </c>
      <c r="G281">
        <v>1</v>
      </c>
      <c r="H281">
        <v>1</v>
      </c>
      <c r="I281">
        <v>5</v>
      </c>
      <c r="N281">
        <v>8</v>
      </c>
      <c r="P281">
        <v>1</v>
      </c>
      <c r="Q281">
        <v>1</v>
      </c>
      <c r="S281">
        <v>2</v>
      </c>
      <c r="T281">
        <v>2</v>
      </c>
      <c r="AG281">
        <v>5</v>
      </c>
      <c r="AQ281" t="s">
        <v>585</v>
      </c>
    </row>
    <row r="282" spans="1:43">
      <c r="A282">
        <v>526</v>
      </c>
      <c r="B282">
        <v>8</v>
      </c>
      <c r="C282" t="s">
        <v>258</v>
      </c>
      <c r="F282">
        <v>4</v>
      </c>
      <c r="G282">
        <v>2</v>
      </c>
      <c r="H282">
        <v>2</v>
      </c>
      <c r="I282">
        <v>10</v>
      </c>
      <c r="N282">
        <v>8</v>
      </c>
      <c r="P282">
        <v>3</v>
      </c>
      <c r="Q282">
        <v>3</v>
      </c>
      <c r="R282">
        <v>1</v>
      </c>
      <c r="S282">
        <v>12</v>
      </c>
      <c r="T282">
        <v>2</v>
      </c>
      <c r="AG282">
        <v>7</v>
      </c>
      <c r="AQ282" t="s">
        <v>585</v>
      </c>
    </row>
    <row r="283" spans="1:43">
      <c r="A283">
        <v>527</v>
      </c>
      <c r="B283">
        <v>10</v>
      </c>
      <c r="C283" t="s">
        <v>259</v>
      </c>
      <c r="G283">
        <v>5</v>
      </c>
      <c r="I283">
        <v>5</v>
      </c>
      <c r="J283">
        <v>5</v>
      </c>
      <c r="N283">
        <v>10</v>
      </c>
      <c r="R283">
        <v>26</v>
      </c>
      <c r="S283">
        <v>26</v>
      </c>
      <c r="AQ283" t="s">
        <v>577</v>
      </c>
    </row>
    <row r="284" spans="1:43">
      <c r="A284">
        <v>528</v>
      </c>
      <c r="B284">
        <v>10</v>
      </c>
      <c r="C284" t="s">
        <v>260</v>
      </c>
      <c r="I284">
        <v>5</v>
      </c>
      <c r="J284">
        <v>10</v>
      </c>
      <c r="N284">
        <v>10</v>
      </c>
      <c r="R284">
        <v>26</v>
      </c>
      <c r="S284">
        <v>26</v>
      </c>
      <c r="AQ284" t="s">
        <v>577</v>
      </c>
    </row>
    <row r="285" spans="1:43">
      <c r="A285">
        <v>529</v>
      </c>
      <c r="B285">
        <v>10</v>
      </c>
      <c r="C285" t="s">
        <v>261</v>
      </c>
      <c r="I285">
        <v>10</v>
      </c>
      <c r="J285">
        <v>15</v>
      </c>
      <c r="N285">
        <v>10</v>
      </c>
      <c r="R285">
        <v>26</v>
      </c>
      <c r="S285">
        <v>26</v>
      </c>
      <c r="AQ285" t="s">
        <v>577</v>
      </c>
    </row>
    <row r="286" spans="1:43">
      <c r="A286">
        <v>530</v>
      </c>
      <c r="B286">
        <v>10</v>
      </c>
      <c r="C286" t="s">
        <v>262</v>
      </c>
      <c r="G286">
        <v>10</v>
      </c>
      <c r="I286">
        <v>10</v>
      </c>
      <c r="J286">
        <v>5</v>
      </c>
      <c r="N286">
        <v>10</v>
      </c>
      <c r="R286">
        <v>28</v>
      </c>
      <c r="S286">
        <v>29</v>
      </c>
      <c r="AQ286" t="s">
        <v>577</v>
      </c>
    </row>
    <row r="287" spans="1:43">
      <c r="A287">
        <v>531</v>
      </c>
      <c r="B287">
        <v>10</v>
      </c>
      <c r="C287" t="s">
        <v>263</v>
      </c>
      <c r="G287">
        <v>5</v>
      </c>
      <c r="H287">
        <v>5</v>
      </c>
      <c r="I287">
        <v>16</v>
      </c>
      <c r="J287">
        <v>24</v>
      </c>
      <c r="K287">
        <v>3</v>
      </c>
      <c r="N287">
        <v>10</v>
      </c>
      <c r="R287">
        <v>32</v>
      </c>
      <c r="S287">
        <v>32</v>
      </c>
      <c r="AQ287" t="s">
        <v>577</v>
      </c>
    </row>
    <row r="288" spans="1:43">
      <c r="A288">
        <v>532</v>
      </c>
      <c r="B288">
        <v>10</v>
      </c>
      <c r="C288" t="s">
        <v>264</v>
      </c>
      <c r="G288">
        <v>18</v>
      </c>
      <c r="H288">
        <v>5</v>
      </c>
      <c r="I288">
        <v>12</v>
      </c>
      <c r="J288">
        <v>16</v>
      </c>
      <c r="K288">
        <v>2</v>
      </c>
      <c r="N288">
        <v>10</v>
      </c>
      <c r="R288">
        <v>33</v>
      </c>
      <c r="S288">
        <v>33</v>
      </c>
      <c r="AQ288" t="s">
        <v>577</v>
      </c>
    </row>
    <row r="289" spans="1:43">
      <c r="A289">
        <v>533</v>
      </c>
      <c r="B289">
        <v>11</v>
      </c>
      <c r="C289" t="s">
        <v>265</v>
      </c>
      <c r="K289">
        <v>10</v>
      </c>
      <c r="N289">
        <v>11</v>
      </c>
      <c r="P289">
        <v>11</v>
      </c>
      <c r="R289">
        <v>22</v>
      </c>
      <c r="AM289">
        <v>6</v>
      </c>
      <c r="AQ289" t="s">
        <v>579</v>
      </c>
    </row>
    <row r="290" spans="1:43">
      <c r="A290">
        <v>534</v>
      </c>
      <c r="B290">
        <v>11</v>
      </c>
      <c r="C290" t="s">
        <v>266</v>
      </c>
      <c r="K290">
        <v>15</v>
      </c>
      <c r="N290">
        <v>11</v>
      </c>
      <c r="P290">
        <v>24</v>
      </c>
      <c r="R290">
        <v>28</v>
      </c>
      <c r="AN290">
        <v>4</v>
      </c>
      <c r="AQ290" t="s">
        <v>579</v>
      </c>
    </row>
    <row r="291" spans="1:43">
      <c r="A291">
        <v>535</v>
      </c>
      <c r="B291">
        <v>18</v>
      </c>
      <c r="C291" t="s">
        <v>267</v>
      </c>
      <c r="G291">
        <v>10</v>
      </c>
      <c r="N291">
        <v>18</v>
      </c>
      <c r="Q291">
        <v>14</v>
      </c>
      <c r="R291">
        <v>9</v>
      </c>
      <c r="S291">
        <v>6</v>
      </c>
      <c r="AB291">
        <v>50</v>
      </c>
      <c r="AL291">
        <v>3</v>
      </c>
      <c r="AQ291" t="s">
        <v>577</v>
      </c>
    </row>
    <row r="292" spans="1:43">
      <c r="A292">
        <v>536</v>
      </c>
      <c r="B292">
        <v>18</v>
      </c>
      <c r="C292" t="s">
        <v>268</v>
      </c>
      <c r="D292">
        <v>15</v>
      </c>
      <c r="J292">
        <v>5</v>
      </c>
      <c r="N292">
        <v>18</v>
      </c>
      <c r="Q292">
        <v>6</v>
      </c>
      <c r="R292">
        <v>18</v>
      </c>
      <c r="X292">
        <v>15</v>
      </c>
      <c r="AL292">
        <v>6</v>
      </c>
      <c r="AQ292" t="s">
        <v>636</v>
      </c>
    </row>
    <row r="293" spans="1:43">
      <c r="A293">
        <v>537</v>
      </c>
      <c r="B293">
        <v>12</v>
      </c>
      <c r="C293" t="s">
        <v>269</v>
      </c>
      <c r="G293">
        <v>2</v>
      </c>
      <c r="N293">
        <v>12</v>
      </c>
      <c r="Q293">
        <v>1</v>
      </c>
      <c r="R293">
        <v>1</v>
      </c>
      <c r="AQ293" t="s">
        <v>577</v>
      </c>
    </row>
    <row r="294" spans="1:43">
      <c r="A294">
        <v>538</v>
      </c>
      <c r="B294">
        <v>12</v>
      </c>
      <c r="C294" t="s">
        <v>270</v>
      </c>
      <c r="G294">
        <v>4</v>
      </c>
      <c r="N294">
        <v>12</v>
      </c>
      <c r="Q294">
        <v>2</v>
      </c>
      <c r="R294">
        <v>2</v>
      </c>
      <c r="AQ294" t="s">
        <v>577</v>
      </c>
    </row>
    <row r="295" spans="1:43">
      <c r="A295">
        <v>539</v>
      </c>
      <c r="B295">
        <v>12</v>
      </c>
      <c r="C295" t="s">
        <v>271</v>
      </c>
      <c r="G295">
        <v>8</v>
      </c>
      <c r="N295">
        <v>12</v>
      </c>
      <c r="Q295">
        <v>4</v>
      </c>
      <c r="R295">
        <v>1</v>
      </c>
      <c r="S295">
        <v>2</v>
      </c>
      <c r="AQ295" t="s">
        <v>577</v>
      </c>
    </row>
    <row r="296" spans="1:43">
      <c r="A296">
        <v>540</v>
      </c>
      <c r="B296">
        <v>12</v>
      </c>
      <c r="C296" t="s">
        <v>272</v>
      </c>
      <c r="G296">
        <v>12</v>
      </c>
      <c r="N296">
        <v>12</v>
      </c>
      <c r="Q296">
        <v>6</v>
      </c>
      <c r="R296">
        <v>1</v>
      </c>
      <c r="S296">
        <v>3</v>
      </c>
      <c r="AC296">
        <v>2</v>
      </c>
      <c r="AQ296" t="s">
        <v>577</v>
      </c>
    </row>
    <row r="297" spans="1:43">
      <c r="A297">
        <v>541</v>
      </c>
      <c r="B297">
        <v>4</v>
      </c>
      <c r="C297" t="s">
        <v>273</v>
      </c>
      <c r="E297">
        <v>18</v>
      </c>
      <c r="J297">
        <v>5</v>
      </c>
      <c r="N297">
        <v>4</v>
      </c>
      <c r="P297">
        <v>3</v>
      </c>
      <c r="Q297">
        <v>10</v>
      </c>
      <c r="R297">
        <v>10</v>
      </c>
      <c r="S297">
        <v>2</v>
      </c>
      <c r="W297">
        <v>-2</v>
      </c>
      <c r="AQ297" t="s">
        <v>635</v>
      </c>
    </row>
    <row r="298" spans="1:43">
      <c r="A298">
        <v>542</v>
      </c>
      <c r="B298">
        <v>14</v>
      </c>
      <c r="C298" t="s">
        <v>274</v>
      </c>
      <c r="H298">
        <v>7</v>
      </c>
      <c r="N298">
        <v>14</v>
      </c>
      <c r="Q298">
        <v>4</v>
      </c>
      <c r="R298">
        <v>1</v>
      </c>
      <c r="S298">
        <v>2</v>
      </c>
      <c r="AL298">
        <v>8</v>
      </c>
      <c r="AQ298" t="s">
        <v>637</v>
      </c>
    </row>
    <row r="299" spans="1:43">
      <c r="A299">
        <v>543</v>
      </c>
      <c r="B299">
        <v>15</v>
      </c>
      <c r="C299" t="s">
        <v>275</v>
      </c>
      <c r="H299">
        <v>9</v>
      </c>
      <c r="N299">
        <v>15</v>
      </c>
      <c r="R299">
        <v>1</v>
      </c>
      <c r="S299">
        <v>2</v>
      </c>
      <c r="AQ299" t="s">
        <v>638</v>
      </c>
    </row>
    <row r="300" spans="1:43">
      <c r="A300">
        <v>544</v>
      </c>
      <c r="B300">
        <v>14</v>
      </c>
      <c r="C300" t="s">
        <v>276</v>
      </c>
      <c r="H300">
        <v>13</v>
      </c>
      <c r="N300">
        <v>14</v>
      </c>
      <c r="Q300">
        <v>6</v>
      </c>
      <c r="R300">
        <v>2</v>
      </c>
      <c r="S300">
        <v>2</v>
      </c>
      <c r="AL300">
        <v>8</v>
      </c>
      <c r="AQ300" t="s">
        <v>637</v>
      </c>
    </row>
    <row r="301" spans="1:43">
      <c r="A301">
        <v>545</v>
      </c>
      <c r="B301">
        <v>15</v>
      </c>
      <c r="C301" t="s">
        <v>277</v>
      </c>
      <c r="H301">
        <v>16</v>
      </c>
      <c r="N301">
        <v>15</v>
      </c>
      <c r="R301">
        <v>6</v>
      </c>
      <c r="S301">
        <v>8</v>
      </c>
      <c r="AQ301" t="s">
        <v>638</v>
      </c>
    </row>
    <row r="302" spans="1:43">
      <c r="A302">
        <v>546</v>
      </c>
      <c r="B302">
        <v>6</v>
      </c>
      <c r="C302" t="s">
        <v>278</v>
      </c>
      <c r="F302">
        <v>10</v>
      </c>
      <c r="G302">
        <v>8</v>
      </c>
      <c r="H302">
        <v>7</v>
      </c>
      <c r="N302">
        <v>6</v>
      </c>
      <c r="P302">
        <v>3</v>
      </c>
      <c r="Q302">
        <v>4</v>
      </c>
      <c r="R302">
        <v>1</v>
      </c>
      <c r="S302">
        <v>5</v>
      </c>
      <c r="T302">
        <v>1</v>
      </c>
      <c r="AG302">
        <v>8</v>
      </c>
      <c r="AQ302" t="s">
        <v>574</v>
      </c>
    </row>
    <row r="303" spans="1:43">
      <c r="A303">
        <v>547</v>
      </c>
      <c r="B303">
        <v>5</v>
      </c>
      <c r="C303" t="s">
        <v>279</v>
      </c>
      <c r="G303">
        <v>10</v>
      </c>
      <c r="J303">
        <v>1</v>
      </c>
      <c r="N303">
        <v>5</v>
      </c>
      <c r="P303">
        <v>3</v>
      </c>
      <c r="Q303">
        <v>3</v>
      </c>
      <c r="R303">
        <v>1</v>
      </c>
      <c r="S303">
        <v>10</v>
      </c>
      <c r="T303">
        <v>1</v>
      </c>
      <c r="AG303">
        <v>7</v>
      </c>
      <c r="AQ303" t="s">
        <v>573</v>
      </c>
    </row>
    <row r="304" spans="1:43">
      <c r="A304">
        <v>548</v>
      </c>
      <c r="B304">
        <v>6</v>
      </c>
      <c r="C304" t="s">
        <v>280</v>
      </c>
      <c r="F304">
        <v>11</v>
      </c>
      <c r="H304">
        <v>4</v>
      </c>
      <c r="I304">
        <v>3</v>
      </c>
      <c r="J304">
        <v>3</v>
      </c>
      <c r="N304">
        <v>6</v>
      </c>
      <c r="P304">
        <v>4</v>
      </c>
      <c r="Q304">
        <v>5</v>
      </c>
      <c r="R304">
        <v>1</v>
      </c>
      <c r="S304">
        <v>6</v>
      </c>
      <c r="T304">
        <v>1</v>
      </c>
      <c r="AG304">
        <v>8</v>
      </c>
      <c r="AQ304" t="s">
        <v>574</v>
      </c>
    </row>
    <row r="305" spans="1:43">
      <c r="A305">
        <v>549</v>
      </c>
      <c r="B305">
        <v>7</v>
      </c>
      <c r="C305" t="s">
        <v>281</v>
      </c>
      <c r="E305">
        <v>13</v>
      </c>
      <c r="G305">
        <v>4</v>
      </c>
      <c r="H305">
        <v>5</v>
      </c>
      <c r="I305">
        <v>5</v>
      </c>
      <c r="J305">
        <v>2</v>
      </c>
      <c r="N305">
        <v>7</v>
      </c>
      <c r="P305">
        <v>3</v>
      </c>
      <c r="Q305">
        <v>6</v>
      </c>
      <c r="R305">
        <v>1</v>
      </c>
      <c r="S305">
        <v>11</v>
      </c>
      <c r="T305">
        <v>1</v>
      </c>
      <c r="AG305">
        <v>8</v>
      </c>
      <c r="AQ305" t="s">
        <v>572</v>
      </c>
    </row>
    <row r="306" spans="1:43">
      <c r="A306">
        <v>550</v>
      </c>
      <c r="B306">
        <v>1</v>
      </c>
      <c r="C306" t="s">
        <v>282</v>
      </c>
      <c r="D306">
        <v>2</v>
      </c>
      <c r="G306">
        <v>9</v>
      </c>
      <c r="J306">
        <v>3</v>
      </c>
      <c r="L306">
        <v>2</v>
      </c>
      <c r="N306">
        <v>1</v>
      </c>
      <c r="Q306">
        <v>3</v>
      </c>
      <c r="R306">
        <v>4</v>
      </c>
      <c r="S306">
        <v>1</v>
      </c>
      <c r="Z306">
        <v>1</v>
      </c>
      <c r="AA306">
        <v>4</v>
      </c>
      <c r="AB306">
        <v>35</v>
      </c>
      <c r="AK306">
        <v>1</v>
      </c>
      <c r="AQ306" t="s">
        <v>628</v>
      </c>
    </row>
    <row r="307" spans="1:43">
      <c r="A307">
        <v>551</v>
      </c>
      <c r="B307">
        <v>1</v>
      </c>
      <c r="C307" t="s">
        <v>283</v>
      </c>
      <c r="D307">
        <v>27</v>
      </c>
      <c r="G307">
        <v>4</v>
      </c>
      <c r="J307">
        <v>3</v>
      </c>
      <c r="L307">
        <v>4</v>
      </c>
      <c r="N307">
        <v>1</v>
      </c>
      <c r="Q307">
        <v>33</v>
      </c>
      <c r="R307">
        <v>30</v>
      </c>
      <c r="S307">
        <v>1</v>
      </c>
      <c r="Z307">
        <v>4</v>
      </c>
      <c r="AK307">
        <v>16</v>
      </c>
      <c r="AQ307" t="s">
        <v>639</v>
      </c>
    </row>
    <row r="308" spans="1:43">
      <c r="A308">
        <v>552</v>
      </c>
      <c r="B308">
        <v>1</v>
      </c>
      <c r="C308" t="s">
        <v>284</v>
      </c>
      <c r="D308">
        <v>13</v>
      </c>
      <c r="J308">
        <v>4</v>
      </c>
      <c r="L308">
        <v>3</v>
      </c>
      <c r="M308">
        <v>3</v>
      </c>
      <c r="N308">
        <v>1</v>
      </c>
      <c r="Q308">
        <v>15</v>
      </c>
      <c r="R308">
        <v>20</v>
      </c>
      <c r="Z308">
        <v>4</v>
      </c>
      <c r="AK308">
        <v>10</v>
      </c>
      <c r="AQ308" t="s">
        <v>640</v>
      </c>
    </row>
    <row r="309" spans="1:43">
      <c r="A309">
        <v>553</v>
      </c>
      <c r="B309">
        <v>1</v>
      </c>
      <c r="C309" t="s">
        <v>285</v>
      </c>
      <c r="D309">
        <v>5</v>
      </c>
      <c r="G309">
        <v>15</v>
      </c>
      <c r="J309">
        <v>5</v>
      </c>
      <c r="L309">
        <v>2</v>
      </c>
      <c r="N309">
        <v>1</v>
      </c>
      <c r="Q309">
        <v>3</v>
      </c>
      <c r="R309">
        <v>4</v>
      </c>
      <c r="S309">
        <v>3</v>
      </c>
      <c r="Z309">
        <v>1</v>
      </c>
      <c r="AA309">
        <v>4</v>
      </c>
      <c r="AB309">
        <v>35</v>
      </c>
      <c r="AC309">
        <v>1</v>
      </c>
      <c r="AK309">
        <v>1</v>
      </c>
      <c r="AQ309" t="s">
        <v>628</v>
      </c>
    </row>
    <row r="310" spans="1:43">
      <c r="A310">
        <v>554</v>
      </c>
      <c r="B310">
        <v>6</v>
      </c>
      <c r="C310" t="s">
        <v>286</v>
      </c>
      <c r="F310">
        <v>8</v>
      </c>
      <c r="G310">
        <v>4</v>
      </c>
      <c r="H310">
        <v>8</v>
      </c>
      <c r="I310">
        <v>6</v>
      </c>
      <c r="J310">
        <v>1</v>
      </c>
      <c r="N310">
        <v>6</v>
      </c>
      <c r="P310">
        <v>4</v>
      </c>
      <c r="Q310">
        <v>5</v>
      </c>
      <c r="R310">
        <v>1</v>
      </c>
      <c r="S310">
        <v>15</v>
      </c>
      <c r="T310">
        <v>2</v>
      </c>
      <c r="AG310">
        <v>7</v>
      </c>
      <c r="AQ310" t="s">
        <v>576</v>
      </c>
    </row>
    <row r="311" spans="1:43">
      <c r="A311">
        <v>555</v>
      </c>
      <c r="B311">
        <v>6</v>
      </c>
      <c r="C311" t="s">
        <v>287</v>
      </c>
      <c r="F311">
        <v>13</v>
      </c>
      <c r="G311">
        <v>9</v>
      </c>
      <c r="H311">
        <v>10</v>
      </c>
      <c r="I311">
        <v>7</v>
      </c>
      <c r="J311">
        <v>3</v>
      </c>
      <c r="N311">
        <v>6</v>
      </c>
      <c r="P311">
        <v>4</v>
      </c>
      <c r="Q311">
        <v>6</v>
      </c>
      <c r="R311">
        <v>1</v>
      </c>
      <c r="S311">
        <v>17</v>
      </c>
      <c r="T311">
        <v>2</v>
      </c>
      <c r="AG311">
        <v>12</v>
      </c>
      <c r="AQ311" t="s">
        <v>576</v>
      </c>
    </row>
    <row r="312" spans="1:43">
      <c r="A312">
        <v>556</v>
      </c>
      <c r="B312">
        <v>5</v>
      </c>
      <c r="C312" t="s">
        <v>288</v>
      </c>
      <c r="G312">
        <v>12</v>
      </c>
      <c r="J312">
        <v>2</v>
      </c>
      <c r="K312">
        <v>2</v>
      </c>
      <c r="N312">
        <v>5</v>
      </c>
      <c r="P312">
        <v>3</v>
      </c>
      <c r="Q312">
        <v>4</v>
      </c>
      <c r="R312">
        <v>1</v>
      </c>
      <c r="S312">
        <v>11</v>
      </c>
      <c r="T312">
        <v>1</v>
      </c>
      <c r="AG312">
        <v>9</v>
      </c>
      <c r="AQ312" t="s">
        <v>573</v>
      </c>
    </row>
    <row r="313" spans="1:43">
      <c r="A313">
        <v>557</v>
      </c>
      <c r="B313">
        <v>6</v>
      </c>
      <c r="C313" t="s">
        <v>289</v>
      </c>
      <c r="F313">
        <v>15</v>
      </c>
      <c r="H313">
        <v>8</v>
      </c>
      <c r="I313">
        <v>5</v>
      </c>
      <c r="J313">
        <v>4</v>
      </c>
      <c r="N313">
        <v>6</v>
      </c>
      <c r="P313">
        <v>4</v>
      </c>
      <c r="Q313">
        <v>6</v>
      </c>
      <c r="R313">
        <v>1</v>
      </c>
      <c r="S313">
        <v>7</v>
      </c>
      <c r="T313">
        <v>1</v>
      </c>
      <c r="AG313">
        <v>14</v>
      </c>
      <c r="AQ313" t="s">
        <v>574</v>
      </c>
    </row>
    <row r="314" spans="1:43">
      <c r="A314">
        <v>558</v>
      </c>
      <c r="B314">
        <v>7</v>
      </c>
      <c r="C314" t="s">
        <v>290</v>
      </c>
      <c r="E314">
        <v>16</v>
      </c>
      <c r="G314">
        <v>5</v>
      </c>
      <c r="H314">
        <v>9</v>
      </c>
      <c r="I314">
        <v>6</v>
      </c>
      <c r="J314">
        <v>3</v>
      </c>
      <c r="N314">
        <v>7</v>
      </c>
      <c r="P314">
        <v>3</v>
      </c>
      <c r="Q314">
        <v>7</v>
      </c>
      <c r="R314">
        <v>1</v>
      </c>
      <c r="S314">
        <v>12</v>
      </c>
      <c r="T314">
        <v>1</v>
      </c>
      <c r="AG314">
        <v>10</v>
      </c>
      <c r="AQ314" t="s">
        <v>572</v>
      </c>
    </row>
    <row r="315" spans="1:43">
      <c r="A315">
        <v>559</v>
      </c>
      <c r="B315">
        <v>15</v>
      </c>
      <c r="C315" t="s">
        <v>291</v>
      </c>
      <c r="G315">
        <v>6</v>
      </c>
      <c r="H315">
        <v>20</v>
      </c>
      <c r="I315">
        <v>3</v>
      </c>
      <c r="J315">
        <v>5</v>
      </c>
      <c r="K315">
        <v>3</v>
      </c>
      <c r="N315">
        <v>15</v>
      </c>
      <c r="R315">
        <v>20</v>
      </c>
      <c r="S315">
        <v>20</v>
      </c>
      <c r="AQ315" t="s">
        <v>638</v>
      </c>
    </row>
    <row r="316" spans="1:43">
      <c r="A316">
        <v>560</v>
      </c>
      <c r="B316">
        <v>18</v>
      </c>
      <c r="C316" t="s">
        <v>292</v>
      </c>
      <c r="D316">
        <v>2</v>
      </c>
      <c r="I316">
        <v>2</v>
      </c>
      <c r="N316">
        <v>18</v>
      </c>
      <c r="R316">
        <v>2</v>
      </c>
      <c r="S316">
        <v>2</v>
      </c>
      <c r="AE316">
        <v>1</v>
      </c>
      <c r="AQ316" t="s">
        <v>641</v>
      </c>
    </row>
    <row r="317" spans="1:43">
      <c r="A317">
        <v>561</v>
      </c>
      <c r="B317">
        <v>6</v>
      </c>
      <c r="C317" t="s">
        <v>293</v>
      </c>
      <c r="F317">
        <v>11</v>
      </c>
      <c r="G317">
        <v>3</v>
      </c>
      <c r="H317">
        <v>5</v>
      </c>
      <c r="I317">
        <v>3</v>
      </c>
      <c r="J317">
        <v>1</v>
      </c>
      <c r="N317">
        <v>6</v>
      </c>
      <c r="P317">
        <v>8</v>
      </c>
      <c r="Q317">
        <v>5</v>
      </c>
      <c r="S317">
        <v>14</v>
      </c>
      <c r="T317">
        <v>3</v>
      </c>
      <c r="AD317">
        <v>4</v>
      </c>
      <c r="AG317">
        <v>12</v>
      </c>
      <c r="AQ317" t="s">
        <v>642</v>
      </c>
    </row>
    <row r="318" spans="1:43">
      <c r="A318">
        <v>562</v>
      </c>
      <c r="B318">
        <v>6</v>
      </c>
      <c r="C318" t="s">
        <v>294</v>
      </c>
      <c r="F318">
        <v>16</v>
      </c>
      <c r="G318">
        <v>5</v>
      </c>
      <c r="H318">
        <v>7</v>
      </c>
      <c r="I318">
        <v>4</v>
      </c>
      <c r="J318">
        <v>2</v>
      </c>
      <c r="N318">
        <v>6</v>
      </c>
      <c r="P318">
        <v>9</v>
      </c>
      <c r="Q318">
        <v>6</v>
      </c>
      <c r="S318">
        <v>15</v>
      </c>
      <c r="T318">
        <v>3</v>
      </c>
      <c r="AD318">
        <v>4</v>
      </c>
      <c r="AG318">
        <v>15</v>
      </c>
      <c r="AQ318" t="s">
        <v>642</v>
      </c>
    </row>
    <row r="319" spans="1:43">
      <c r="A319">
        <v>563</v>
      </c>
      <c r="B319">
        <v>1</v>
      </c>
      <c r="C319" t="s">
        <v>295</v>
      </c>
      <c r="D319">
        <v>8</v>
      </c>
      <c r="G319">
        <v>1</v>
      </c>
      <c r="J319">
        <v>-1</v>
      </c>
      <c r="L319">
        <v>3</v>
      </c>
      <c r="N319">
        <v>1</v>
      </c>
      <c r="Q319">
        <v>4</v>
      </c>
      <c r="R319">
        <v>5</v>
      </c>
      <c r="Z319">
        <v>3</v>
      </c>
      <c r="AK319">
        <v>7</v>
      </c>
      <c r="AQ319" t="s">
        <v>643</v>
      </c>
    </row>
    <row r="320" spans="1:43">
      <c r="A320">
        <v>564</v>
      </c>
      <c r="B320">
        <v>8</v>
      </c>
      <c r="C320" t="s">
        <v>296</v>
      </c>
      <c r="G320">
        <v>2</v>
      </c>
      <c r="H320">
        <v>2</v>
      </c>
      <c r="I320">
        <v>5</v>
      </c>
      <c r="J320">
        <v>5</v>
      </c>
      <c r="N320">
        <v>8</v>
      </c>
      <c r="P320">
        <v>3</v>
      </c>
      <c r="Q320">
        <v>3</v>
      </c>
      <c r="S320">
        <v>9</v>
      </c>
      <c r="T320">
        <v>2</v>
      </c>
      <c r="AG320">
        <v>5</v>
      </c>
      <c r="AQ320" t="s">
        <v>585</v>
      </c>
    </row>
    <row r="321" spans="1:43">
      <c r="A321">
        <v>565</v>
      </c>
      <c r="B321">
        <v>1</v>
      </c>
      <c r="C321" t="s">
        <v>297</v>
      </c>
      <c r="D321">
        <v>3</v>
      </c>
      <c r="J321">
        <v>3</v>
      </c>
      <c r="M321">
        <v>2</v>
      </c>
      <c r="N321">
        <v>1</v>
      </c>
      <c r="Q321">
        <v>3</v>
      </c>
      <c r="R321">
        <v>3</v>
      </c>
      <c r="Z321">
        <v>1</v>
      </c>
      <c r="AK321">
        <v>1</v>
      </c>
      <c r="AQ321" t="s">
        <v>644</v>
      </c>
    </row>
    <row r="322" spans="1:43">
      <c r="A322">
        <v>566</v>
      </c>
      <c r="B322">
        <v>6</v>
      </c>
      <c r="C322" t="s">
        <v>298</v>
      </c>
      <c r="F322">
        <v>8</v>
      </c>
      <c r="G322">
        <v>7</v>
      </c>
      <c r="H322">
        <v>2</v>
      </c>
      <c r="J322">
        <v>2</v>
      </c>
      <c r="N322">
        <v>6</v>
      </c>
      <c r="P322">
        <v>3</v>
      </c>
      <c r="Q322">
        <v>5</v>
      </c>
      <c r="R322">
        <v>1</v>
      </c>
      <c r="S322">
        <v>11</v>
      </c>
      <c r="T322">
        <v>1</v>
      </c>
      <c r="AD322">
        <v>5</v>
      </c>
      <c r="AG322">
        <v>7</v>
      </c>
      <c r="AQ322" t="s">
        <v>574</v>
      </c>
    </row>
    <row r="323" spans="1:43">
      <c r="A323">
        <v>567</v>
      </c>
      <c r="B323">
        <v>10</v>
      </c>
      <c r="C323" t="s">
        <v>299</v>
      </c>
      <c r="G323">
        <v>4</v>
      </c>
      <c r="I323">
        <v>8</v>
      </c>
      <c r="J323">
        <v>16</v>
      </c>
      <c r="N323">
        <v>10</v>
      </c>
      <c r="R323">
        <v>26</v>
      </c>
      <c r="S323">
        <v>26</v>
      </c>
      <c r="AQ323" t="s">
        <v>644</v>
      </c>
    </row>
    <row r="324" spans="1:43">
      <c r="A324">
        <v>568</v>
      </c>
      <c r="B324">
        <v>1</v>
      </c>
      <c r="C324" t="s">
        <v>300</v>
      </c>
      <c r="D324">
        <v>24</v>
      </c>
      <c r="G324">
        <v>3</v>
      </c>
      <c r="J324">
        <v>4</v>
      </c>
      <c r="L324">
        <v>3</v>
      </c>
      <c r="M324">
        <v>1</v>
      </c>
      <c r="N324">
        <v>1</v>
      </c>
      <c r="Q324">
        <v>20</v>
      </c>
      <c r="R324">
        <v>22</v>
      </c>
      <c r="S324">
        <v>2</v>
      </c>
      <c r="Z324">
        <v>4</v>
      </c>
      <c r="AK324">
        <v>13</v>
      </c>
      <c r="AQ324" t="s">
        <v>634</v>
      </c>
    </row>
    <row r="325" spans="1:43">
      <c r="A325">
        <v>569</v>
      </c>
      <c r="B325">
        <v>8</v>
      </c>
      <c r="C325" t="s">
        <v>301</v>
      </c>
      <c r="D325">
        <v>3</v>
      </c>
      <c r="G325">
        <v>1</v>
      </c>
      <c r="H325">
        <v>2</v>
      </c>
      <c r="I325">
        <v>9</v>
      </c>
      <c r="J325">
        <v>8</v>
      </c>
      <c r="N325">
        <v>8</v>
      </c>
      <c r="P325">
        <v>9</v>
      </c>
      <c r="Q325">
        <v>2</v>
      </c>
      <c r="R325">
        <v>1</v>
      </c>
      <c r="S325">
        <v>25</v>
      </c>
      <c r="T325">
        <v>2</v>
      </c>
      <c r="AD325">
        <v>3</v>
      </c>
      <c r="AG325">
        <v>13</v>
      </c>
      <c r="AQ325" t="s">
        <v>645</v>
      </c>
    </row>
    <row r="326" spans="1:43">
      <c r="A326">
        <v>570</v>
      </c>
      <c r="B326">
        <v>4</v>
      </c>
      <c r="C326" t="s">
        <v>302</v>
      </c>
      <c r="E326">
        <v>13</v>
      </c>
      <c r="J326">
        <v>3</v>
      </c>
      <c r="L326">
        <v>1</v>
      </c>
      <c r="N326">
        <v>4</v>
      </c>
      <c r="P326">
        <v>3</v>
      </c>
      <c r="Q326">
        <v>6</v>
      </c>
      <c r="R326">
        <v>6</v>
      </c>
      <c r="S326">
        <v>1</v>
      </c>
      <c r="W326">
        <v>-2</v>
      </c>
      <c r="AQ326" t="s">
        <v>635</v>
      </c>
    </row>
    <row r="327" spans="1:43">
      <c r="A327">
        <v>571</v>
      </c>
      <c r="B327">
        <v>6</v>
      </c>
      <c r="C327" t="s">
        <v>303</v>
      </c>
      <c r="D327">
        <v>4</v>
      </c>
      <c r="F327">
        <v>15</v>
      </c>
      <c r="G327">
        <v>11</v>
      </c>
      <c r="H327">
        <v>15</v>
      </c>
      <c r="J327">
        <v>8</v>
      </c>
      <c r="M327">
        <v>4</v>
      </c>
      <c r="N327">
        <v>6</v>
      </c>
      <c r="P327">
        <v>5</v>
      </c>
      <c r="Q327">
        <v>8</v>
      </c>
      <c r="R327">
        <v>2</v>
      </c>
      <c r="S327">
        <v>20</v>
      </c>
      <c r="AG327">
        <v>15</v>
      </c>
      <c r="AQ327" t="s">
        <v>576</v>
      </c>
    </row>
    <row r="328" spans="1:43">
      <c r="A328">
        <v>572</v>
      </c>
      <c r="B328">
        <v>5</v>
      </c>
      <c r="C328" t="s">
        <v>304</v>
      </c>
      <c r="D328">
        <v>8</v>
      </c>
      <c r="G328">
        <v>18</v>
      </c>
      <c r="I328">
        <v>4</v>
      </c>
      <c r="J328">
        <v>8</v>
      </c>
      <c r="K328">
        <v>8</v>
      </c>
      <c r="M328">
        <v>8</v>
      </c>
      <c r="N328">
        <v>5</v>
      </c>
      <c r="P328">
        <v>4</v>
      </c>
      <c r="Q328">
        <v>5</v>
      </c>
      <c r="R328">
        <v>1</v>
      </c>
      <c r="S328">
        <v>14</v>
      </c>
      <c r="AG328">
        <v>12</v>
      </c>
      <c r="AQ328" t="s">
        <v>573</v>
      </c>
    </row>
    <row r="329" spans="1:43">
      <c r="A329">
        <v>573</v>
      </c>
      <c r="B329">
        <v>6</v>
      </c>
      <c r="C329" t="s">
        <v>305</v>
      </c>
      <c r="D329">
        <v>6</v>
      </c>
      <c r="F329">
        <v>18</v>
      </c>
      <c r="G329">
        <v>6</v>
      </c>
      <c r="H329">
        <v>9</v>
      </c>
      <c r="I329">
        <v>3</v>
      </c>
      <c r="J329">
        <v>12</v>
      </c>
      <c r="K329">
        <v>6</v>
      </c>
      <c r="L329">
        <v>5</v>
      </c>
      <c r="M329">
        <v>3</v>
      </c>
      <c r="N329">
        <v>6</v>
      </c>
      <c r="P329">
        <v>5</v>
      </c>
      <c r="Q329">
        <v>6</v>
      </c>
      <c r="R329">
        <v>2</v>
      </c>
      <c r="S329">
        <v>21</v>
      </c>
      <c r="T329">
        <v>2</v>
      </c>
      <c r="AG329">
        <v>12</v>
      </c>
      <c r="AQ329" t="s">
        <v>576</v>
      </c>
    </row>
    <row r="330" spans="1:43">
      <c r="A330">
        <v>574</v>
      </c>
      <c r="B330">
        <v>7</v>
      </c>
      <c r="C330" t="s">
        <v>306</v>
      </c>
      <c r="D330">
        <v>25</v>
      </c>
      <c r="G330">
        <v>8</v>
      </c>
      <c r="H330">
        <v>22</v>
      </c>
      <c r="I330">
        <v>3</v>
      </c>
      <c r="J330">
        <v>8</v>
      </c>
      <c r="K330">
        <v>3</v>
      </c>
      <c r="L330">
        <v>4</v>
      </c>
      <c r="M330">
        <v>3</v>
      </c>
      <c r="N330">
        <v>7</v>
      </c>
      <c r="P330">
        <v>5</v>
      </c>
      <c r="Q330">
        <v>8</v>
      </c>
      <c r="R330">
        <v>2</v>
      </c>
      <c r="S330">
        <v>23</v>
      </c>
      <c r="T330">
        <v>1</v>
      </c>
      <c r="AG330">
        <v>15</v>
      </c>
      <c r="AP330" t="s">
        <v>647</v>
      </c>
      <c r="AQ330" t="s">
        <v>572</v>
      </c>
    </row>
    <row r="331" spans="1:43">
      <c r="A331">
        <v>575</v>
      </c>
      <c r="B331">
        <v>7</v>
      </c>
      <c r="C331" t="s">
        <v>307</v>
      </c>
      <c r="D331">
        <v>28</v>
      </c>
      <c r="G331">
        <v>9</v>
      </c>
      <c r="H331">
        <v>27</v>
      </c>
      <c r="I331">
        <v>3</v>
      </c>
      <c r="J331">
        <v>9</v>
      </c>
      <c r="K331">
        <v>4</v>
      </c>
      <c r="L331">
        <v>4</v>
      </c>
      <c r="M331">
        <v>3</v>
      </c>
      <c r="N331">
        <v>7</v>
      </c>
      <c r="P331">
        <v>5</v>
      </c>
      <c r="Q331">
        <v>8</v>
      </c>
      <c r="R331">
        <v>2</v>
      </c>
      <c r="S331">
        <v>25</v>
      </c>
      <c r="T331">
        <v>1</v>
      </c>
      <c r="AG331">
        <v>18</v>
      </c>
      <c r="AP331" t="s">
        <v>648</v>
      </c>
      <c r="AQ331" t="s">
        <v>572</v>
      </c>
    </row>
    <row r="332" spans="1:43">
      <c r="A332">
        <v>576</v>
      </c>
      <c r="B332">
        <v>1</v>
      </c>
      <c r="C332" t="s">
        <v>308</v>
      </c>
      <c r="D332">
        <v>16</v>
      </c>
      <c r="G332">
        <v>3</v>
      </c>
      <c r="J332">
        <v>9</v>
      </c>
      <c r="L332">
        <v>3</v>
      </c>
      <c r="M332">
        <v>2</v>
      </c>
      <c r="N332">
        <v>1</v>
      </c>
      <c r="Q332">
        <v>16</v>
      </c>
      <c r="R332">
        <v>20</v>
      </c>
      <c r="Z332">
        <v>4</v>
      </c>
      <c r="AA332">
        <v>4</v>
      </c>
      <c r="AB332">
        <v>35</v>
      </c>
      <c r="AK332">
        <v>9</v>
      </c>
      <c r="AQ332" t="s">
        <v>624</v>
      </c>
    </row>
    <row r="334" spans="1:43">
      <c r="A334">
        <v>701</v>
      </c>
      <c r="B334">
        <v>17</v>
      </c>
      <c r="C334" t="s">
        <v>309</v>
      </c>
      <c r="K334">
        <v>-1</v>
      </c>
      <c r="M334">
        <v>5</v>
      </c>
      <c r="N334">
        <v>17</v>
      </c>
      <c r="R334">
        <v>9</v>
      </c>
      <c r="AQ334" t="s">
        <v>675</v>
      </c>
    </row>
    <row r="335" spans="1:43">
      <c r="A335">
        <v>702</v>
      </c>
      <c r="B335">
        <v>18</v>
      </c>
      <c r="C335" t="s">
        <v>310</v>
      </c>
      <c r="J335">
        <v>-5</v>
      </c>
      <c r="K335">
        <v>20</v>
      </c>
      <c r="N335">
        <v>18</v>
      </c>
      <c r="P335">
        <v>20</v>
      </c>
      <c r="R335">
        <v>10</v>
      </c>
      <c r="AQ335" t="s">
        <v>676</v>
      </c>
    </row>
    <row r="336" spans="1:43">
      <c r="A336">
        <v>703</v>
      </c>
      <c r="B336">
        <v>18</v>
      </c>
      <c r="C336" t="s">
        <v>311</v>
      </c>
      <c r="G336">
        <v>5</v>
      </c>
      <c r="J336">
        <v>5</v>
      </c>
      <c r="N336">
        <v>18</v>
      </c>
      <c r="Q336">
        <v>9</v>
      </c>
      <c r="R336">
        <v>6</v>
      </c>
      <c r="S336">
        <v>7</v>
      </c>
      <c r="AA336">
        <v>6</v>
      </c>
      <c r="AB336">
        <v>80</v>
      </c>
      <c r="AL336">
        <v>3</v>
      </c>
      <c r="AO336" t="s">
        <v>1418</v>
      </c>
      <c r="AQ336" t="s">
        <v>577</v>
      </c>
    </row>
    <row r="337" spans="1:43" ht="14.25">
      <c r="A337">
        <v>704</v>
      </c>
      <c r="B337">
        <v>18</v>
      </c>
      <c r="C337" t="s">
        <v>312</v>
      </c>
      <c r="D337">
        <v>9</v>
      </c>
      <c r="N337">
        <v>18</v>
      </c>
      <c r="Q337">
        <v>3</v>
      </c>
      <c r="R337">
        <v>10</v>
      </c>
      <c r="Y337">
        <v>25</v>
      </c>
      <c r="AL337">
        <v>4</v>
      </c>
      <c r="AO337" t="s">
        <v>1418</v>
      </c>
      <c r="AP337" t="s">
        <v>626</v>
      </c>
      <c r="AQ337" t="s">
        <v>636</v>
      </c>
    </row>
    <row r="338" spans="1:43">
      <c r="A338">
        <v>705</v>
      </c>
      <c r="B338">
        <v>11</v>
      </c>
      <c r="C338" t="s">
        <v>313</v>
      </c>
      <c r="K338">
        <v>5</v>
      </c>
      <c r="N338">
        <v>11</v>
      </c>
      <c r="O338">
        <v>3</v>
      </c>
      <c r="P338">
        <v>10</v>
      </c>
      <c r="R338">
        <v>10</v>
      </c>
      <c r="AL338">
        <v>1</v>
      </c>
      <c r="AO338" t="s">
        <v>1421</v>
      </c>
      <c r="AQ338" t="s">
        <v>579</v>
      </c>
    </row>
    <row r="339" spans="1:43">
      <c r="A339">
        <v>706</v>
      </c>
      <c r="B339">
        <v>18</v>
      </c>
      <c r="C339" t="s">
        <v>314</v>
      </c>
      <c r="J339">
        <v>8</v>
      </c>
      <c r="N339">
        <v>18</v>
      </c>
      <c r="O339">
        <v>3</v>
      </c>
      <c r="R339">
        <v>10</v>
      </c>
      <c r="S339">
        <v>10</v>
      </c>
      <c r="AO339" t="s">
        <v>1439</v>
      </c>
      <c r="AQ339" t="s">
        <v>577</v>
      </c>
    </row>
    <row r="340" spans="1:43">
      <c r="A340">
        <v>707</v>
      </c>
      <c r="B340">
        <v>18</v>
      </c>
      <c r="C340" t="s">
        <v>315</v>
      </c>
      <c r="N340">
        <v>18</v>
      </c>
      <c r="O340">
        <v>-1</v>
      </c>
      <c r="P340">
        <v>450</v>
      </c>
      <c r="Q340">
        <v>450</v>
      </c>
      <c r="R340">
        <v>450</v>
      </c>
      <c r="S340">
        <v>120</v>
      </c>
      <c r="AO340" t="s">
        <v>1436</v>
      </c>
      <c r="AQ340" t="s">
        <v>582</v>
      </c>
    </row>
    <row r="341" spans="1:43">
      <c r="A341">
        <v>708</v>
      </c>
      <c r="B341">
        <v>1</v>
      </c>
      <c r="C341" t="s">
        <v>316</v>
      </c>
      <c r="D341">
        <v>4</v>
      </c>
      <c r="J341">
        <v>-2</v>
      </c>
      <c r="K341">
        <v>-3</v>
      </c>
      <c r="M341">
        <v>5</v>
      </c>
      <c r="N341">
        <v>1</v>
      </c>
      <c r="O341">
        <v>3</v>
      </c>
      <c r="R341">
        <v>12</v>
      </c>
      <c r="AP341" t="s">
        <v>649</v>
      </c>
      <c r="AQ341" t="s">
        <v>582</v>
      </c>
    </row>
    <row r="342" spans="1:43">
      <c r="A342">
        <v>709</v>
      </c>
      <c r="B342">
        <v>18</v>
      </c>
      <c r="C342" t="s">
        <v>317</v>
      </c>
      <c r="I342">
        <v>-3</v>
      </c>
      <c r="J342">
        <v>3</v>
      </c>
      <c r="N342">
        <v>18</v>
      </c>
      <c r="O342">
        <v>3</v>
      </c>
      <c r="P342">
        <v>1</v>
      </c>
      <c r="Q342">
        <v>1</v>
      </c>
      <c r="R342">
        <v>1</v>
      </c>
      <c r="AO342" t="s">
        <v>1422</v>
      </c>
      <c r="AP342" t="s">
        <v>650</v>
      </c>
      <c r="AQ342" t="s">
        <v>582</v>
      </c>
    </row>
    <row r="343" spans="1:43">
      <c r="A343">
        <v>710</v>
      </c>
      <c r="B343">
        <v>18</v>
      </c>
      <c r="C343" t="s">
        <v>318</v>
      </c>
      <c r="K343">
        <v>-3</v>
      </c>
      <c r="N343">
        <v>18</v>
      </c>
      <c r="O343">
        <v>-1</v>
      </c>
      <c r="P343">
        <v>235</v>
      </c>
      <c r="AO343" t="s">
        <v>1418</v>
      </c>
      <c r="AQ343" t="s">
        <v>582</v>
      </c>
    </row>
    <row r="344" spans="1:43">
      <c r="A344">
        <v>711</v>
      </c>
      <c r="B344">
        <v>18</v>
      </c>
      <c r="C344" t="s">
        <v>319</v>
      </c>
      <c r="D344">
        <v>3</v>
      </c>
      <c r="N344">
        <v>18</v>
      </c>
      <c r="O344">
        <v>3</v>
      </c>
      <c r="P344">
        <v>1</v>
      </c>
      <c r="AO344" t="s">
        <v>1423</v>
      </c>
      <c r="AP344" t="s">
        <v>651</v>
      </c>
      <c r="AQ344" t="s">
        <v>582</v>
      </c>
    </row>
    <row r="345" spans="1:43">
      <c r="A345">
        <v>712</v>
      </c>
      <c r="B345">
        <v>18</v>
      </c>
      <c r="C345" t="s">
        <v>320</v>
      </c>
      <c r="I345">
        <v>3</v>
      </c>
      <c r="J345">
        <v>5</v>
      </c>
      <c r="N345">
        <v>18</v>
      </c>
      <c r="O345">
        <v>-1</v>
      </c>
      <c r="P345">
        <v>1</v>
      </c>
      <c r="AO345" t="s">
        <v>1424</v>
      </c>
      <c r="AP345" t="s">
        <v>652</v>
      </c>
      <c r="AQ345" t="s">
        <v>582</v>
      </c>
    </row>
    <row r="346" spans="1:43">
      <c r="A346">
        <v>713</v>
      </c>
      <c r="B346">
        <v>18</v>
      </c>
      <c r="C346" t="s">
        <v>321</v>
      </c>
      <c r="M346">
        <v>3</v>
      </c>
      <c r="N346">
        <v>18</v>
      </c>
      <c r="O346">
        <v>3</v>
      </c>
      <c r="P346">
        <v>1</v>
      </c>
      <c r="AO346" t="s">
        <v>1423</v>
      </c>
      <c r="AP346" t="s">
        <v>653</v>
      </c>
      <c r="AQ346" t="s">
        <v>582</v>
      </c>
    </row>
    <row r="347" spans="1:43" ht="14.25">
      <c r="A347">
        <v>714</v>
      </c>
      <c r="B347">
        <v>14</v>
      </c>
      <c r="C347" t="s">
        <v>322</v>
      </c>
      <c r="H347">
        <v>3</v>
      </c>
      <c r="N347">
        <v>14</v>
      </c>
      <c r="O347">
        <v>3</v>
      </c>
      <c r="P347">
        <v>1</v>
      </c>
      <c r="AL347">
        <v>9</v>
      </c>
      <c r="AO347" t="s">
        <v>1418</v>
      </c>
      <c r="AP347" t="s">
        <v>690</v>
      </c>
      <c r="AQ347" t="s">
        <v>582</v>
      </c>
    </row>
    <row r="348" spans="1:43">
      <c r="A348">
        <v>715</v>
      </c>
      <c r="B348">
        <v>1</v>
      </c>
      <c r="C348" t="s">
        <v>323</v>
      </c>
      <c r="D348">
        <v>4</v>
      </c>
      <c r="H348">
        <v>1</v>
      </c>
      <c r="K348">
        <v>1</v>
      </c>
      <c r="M348">
        <v>1</v>
      </c>
      <c r="N348">
        <v>1</v>
      </c>
      <c r="R348">
        <v>11</v>
      </c>
      <c r="AP348" t="s">
        <v>654</v>
      </c>
      <c r="AQ348" t="s">
        <v>582</v>
      </c>
    </row>
    <row r="349" spans="1:43">
      <c r="A349">
        <v>716</v>
      </c>
      <c r="B349">
        <v>1</v>
      </c>
      <c r="C349" t="s">
        <v>324</v>
      </c>
      <c r="D349">
        <v>4</v>
      </c>
      <c r="K349">
        <v>1</v>
      </c>
      <c r="N349">
        <v>1</v>
      </c>
      <c r="O349">
        <v>1</v>
      </c>
      <c r="R349">
        <v>10</v>
      </c>
      <c r="AP349" t="s">
        <v>655</v>
      </c>
      <c r="AQ349" t="s">
        <v>582</v>
      </c>
    </row>
    <row r="350" spans="1:43">
      <c r="A350">
        <v>717</v>
      </c>
      <c r="B350">
        <v>1</v>
      </c>
      <c r="C350" t="s">
        <v>325</v>
      </c>
      <c r="D350">
        <v>4</v>
      </c>
      <c r="K350">
        <v>2</v>
      </c>
      <c r="N350">
        <v>1</v>
      </c>
      <c r="R350">
        <v>10</v>
      </c>
      <c r="AP350" t="s">
        <v>656</v>
      </c>
      <c r="AQ350" t="s">
        <v>582</v>
      </c>
    </row>
    <row r="351" spans="1:43">
      <c r="A351">
        <v>718</v>
      </c>
      <c r="B351">
        <v>1</v>
      </c>
      <c r="C351" t="s">
        <v>326</v>
      </c>
      <c r="D351">
        <v>5</v>
      </c>
      <c r="N351">
        <v>1</v>
      </c>
      <c r="O351">
        <v>3</v>
      </c>
      <c r="R351">
        <v>8</v>
      </c>
      <c r="X351">
        <v>10</v>
      </c>
      <c r="AO351" t="s">
        <v>1436</v>
      </c>
      <c r="AP351" t="s">
        <v>657</v>
      </c>
      <c r="AQ351" t="s">
        <v>582</v>
      </c>
    </row>
    <row r="352" spans="1:43" ht="14.25">
      <c r="A352">
        <v>719</v>
      </c>
      <c r="B352">
        <v>8</v>
      </c>
      <c r="C352" t="s">
        <v>327</v>
      </c>
      <c r="D352">
        <v>1</v>
      </c>
      <c r="I352">
        <v>5</v>
      </c>
      <c r="J352">
        <v>5</v>
      </c>
      <c r="N352">
        <v>8</v>
      </c>
      <c r="P352">
        <v>1</v>
      </c>
      <c r="Q352">
        <v>1</v>
      </c>
      <c r="S352">
        <v>1</v>
      </c>
      <c r="T352">
        <v>2</v>
      </c>
      <c r="AD352">
        <v>2</v>
      </c>
      <c r="AG352">
        <v>2</v>
      </c>
      <c r="AO352" t="s">
        <v>1436</v>
      </c>
      <c r="AP352" t="s">
        <v>691</v>
      </c>
      <c r="AQ352" t="s">
        <v>677</v>
      </c>
    </row>
    <row r="353" spans="1:43">
      <c r="A353">
        <v>720</v>
      </c>
      <c r="B353">
        <v>1</v>
      </c>
      <c r="C353" t="s">
        <v>328</v>
      </c>
      <c r="D353">
        <v>2</v>
      </c>
      <c r="J353">
        <v>2</v>
      </c>
      <c r="L353">
        <v>1</v>
      </c>
      <c r="N353">
        <v>1</v>
      </c>
      <c r="Q353">
        <v>1</v>
      </c>
      <c r="R353">
        <v>1</v>
      </c>
      <c r="Z353">
        <v>1</v>
      </c>
      <c r="AK353">
        <v>1</v>
      </c>
      <c r="AO353" t="s">
        <v>1420</v>
      </c>
      <c r="AQ353" t="s">
        <v>628</v>
      </c>
    </row>
    <row r="354" spans="1:43">
      <c r="A354">
        <v>721</v>
      </c>
      <c r="B354">
        <v>1</v>
      </c>
      <c r="C354" t="s">
        <v>329</v>
      </c>
      <c r="D354">
        <v>3</v>
      </c>
      <c r="J354">
        <v>2</v>
      </c>
      <c r="L354">
        <v>1</v>
      </c>
      <c r="N354">
        <v>1</v>
      </c>
      <c r="Q354">
        <v>1</v>
      </c>
      <c r="R354">
        <v>2</v>
      </c>
      <c r="Z354">
        <v>1</v>
      </c>
      <c r="AK354">
        <v>1</v>
      </c>
      <c r="AO354" t="s">
        <v>1421</v>
      </c>
      <c r="AQ354" t="s">
        <v>628</v>
      </c>
    </row>
    <row r="355" spans="1:43">
      <c r="A355">
        <v>722</v>
      </c>
      <c r="B355">
        <v>1</v>
      </c>
      <c r="C355" t="s">
        <v>330</v>
      </c>
      <c r="D355">
        <v>1</v>
      </c>
      <c r="G355">
        <v>4</v>
      </c>
      <c r="L355">
        <v>1</v>
      </c>
      <c r="N355">
        <v>1</v>
      </c>
      <c r="Q355">
        <v>1</v>
      </c>
      <c r="R355">
        <v>1</v>
      </c>
      <c r="Z355">
        <v>1</v>
      </c>
      <c r="AA355">
        <v>4</v>
      </c>
      <c r="AB355">
        <v>35</v>
      </c>
      <c r="AK355">
        <v>1</v>
      </c>
      <c r="AO355" t="s">
        <v>1423</v>
      </c>
      <c r="AQ355" t="s">
        <v>628</v>
      </c>
    </row>
    <row r="356" spans="1:43">
      <c r="A356">
        <v>723</v>
      </c>
      <c r="B356">
        <v>1</v>
      </c>
      <c r="C356" t="s">
        <v>331</v>
      </c>
      <c r="D356">
        <v>2</v>
      </c>
      <c r="G356">
        <v>4</v>
      </c>
      <c r="J356">
        <v>1</v>
      </c>
      <c r="K356">
        <v>1</v>
      </c>
      <c r="L356">
        <v>1</v>
      </c>
      <c r="N356">
        <v>1</v>
      </c>
      <c r="Q356">
        <v>1</v>
      </c>
      <c r="R356">
        <v>2</v>
      </c>
      <c r="Z356">
        <v>1</v>
      </c>
      <c r="AA356">
        <v>4</v>
      </c>
      <c r="AB356">
        <v>35</v>
      </c>
      <c r="AK356">
        <v>1</v>
      </c>
      <c r="AO356" t="s">
        <v>1423</v>
      </c>
      <c r="AQ356" t="s">
        <v>628</v>
      </c>
    </row>
    <row r="357" spans="1:43">
      <c r="A357">
        <v>724</v>
      </c>
      <c r="B357">
        <v>1</v>
      </c>
      <c r="C357" t="s">
        <v>332</v>
      </c>
      <c r="D357">
        <v>4</v>
      </c>
      <c r="G357">
        <v>7</v>
      </c>
      <c r="L357">
        <v>1</v>
      </c>
      <c r="N357">
        <v>1</v>
      </c>
      <c r="Q357">
        <v>1</v>
      </c>
      <c r="R357">
        <v>3</v>
      </c>
      <c r="Z357">
        <v>1</v>
      </c>
      <c r="AA357">
        <v>4</v>
      </c>
      <c r="AB357">
        <v>35</v>
      </c>
      <c r="AK357">
        <v>1</v>
      </c>
      <c r="AO357" t="s">
        <v>1418</v>
      </c>
      <c r="AQ357" t="s">
        <v>628</v>
      </c>
    </row>
    <row r="358" spans="1:43">
      <c r="A358">
        <v>725</v>
      </c>
      <c r="B358">
        <v>1</v>
      </c>
      <c r="C358" t="s">
        <v>333</v>
      </c>
      <c r="D358">
        <v>2</v>
      </c>
      <c r="G358">
        <v>4</v>
      </c>
      <c r="L358">
        <v>1</v>
      </c>
      <c r="N358">
        <v>1</v>
      </c>
      <c r="Q358">
        <v>2</v>
      </c>
      <c r="R358">
        <v>3</v>
      </c>
      <c r="Z358">
        <v>1</v>
      </c>
      <c r="AA358">
        <v>4</v>
      </c>
      <c r="AB358">
        <v>35</v>
      </c>
      <c r="AK358">
        <v>1</v>
      </c>
      <c r="AO358" t="s">
        <v>1418</v>
      </c>
      <c r="AQ358" t="s">
        <v>628</v>
      </c>
    </row>
    <row r="359" spans="1:43">
      <c r="A359">
        <v>726</v>
      </c>
      <c r="B359">
        <v>1</v>
      </c>
      <c r="C359" t="s">
        <v>334</v>
      </c>
      <c r="D359">
        <v>2</v>
      </c>
      <c r="J359">
        <v>1</v>
      </c>
      <c r="L359">
        <v>1</v>
      </c>
      <c r="N359">
        <v>1</v>
      </c>
      <c r="Q359">
        <v>1</v>
      </c>
      <c r="R359">
        <v>2</v>
      </c>
      <c r="Z359">
        <v>1</v>
      </c>
      <c r="AK359">
        <v>1</v>
      </c>
      <c r="AO359" t="s">
        <v>1425</v>
      </c>
      <c r="AQ359" t="s">
        <v>628</v>
      </c>
    </row>
    <row r="360" spans="1:43">
      <c r="A360">
        <v>727</v>
      </c>
      <c r="B360">
        <v>1</v>
      </c>
      <c r="C360" t="s">
        <v>335</v>
      </c>
      <c r="D360">
        <v>2</v>
      </c>
      <c r="L360">
        <v>1</v>
      </c>
      <c r="N360">
        <v>1</v>
      </c>
      <c r="Q360">
        <v>1</v>
      </c>
      <c r="R360">
        <v>1</v>
      </c>
      <c r="Z360">
        <v>1</v>
      </c>
      <c r="AK360">
        <v>1</v>
      </c>
      <c r="AO360" t="s">
        <v>1426</v>
      </c>
      <c r="AQ360" t="s">
        <v>628</v>
      </c>
    </row>
    <row r="361" spans="1:43">
      <c r="A361">
        <v>728</v>
      </c>
      <c r="B361">
        <v>1</v>
      </c>
      <c r="C361" t="s">
        <v>336</v>
      </c>
      <c r="D361">
        <v>5</v>
      </c>
      <c r="J361">
        <v>2</v>
      </c>
      <c r="L361">
        <v>2</v>
      </c>
      <c r="N361">
        <v>1</v>
      </c>
      <c r="Q361">
        <v>3</v>
      </c>
      <c r="R361">
        <v>4</v>
      </c>
      <c r="Z361">
        <v>2</v>
      </c>
      <c r="AK361">
        <v>4</v>
      </c>
      <c r="AO361" t="s">
        <v>1420</v>
      </c>
      <c r="AQ361" t="s">
        <v>631</v>
      </c>
    </row>
    <row r="362" spans="1:43">
      <c r="A362">
        <v>729</v>
      </c>
      <c r="B362">
        <v>1</v>
      </c>
      <c r="C362" t="s">
        <v>337</v>
      </c>
      <c r="D362">
        <v>3</v>
      </c>
      <c r="G362">
        <v>5</v>
      </c>
      <c r="L362">
        <v>2</v>
      </c>
      <c r="N362">
        <v>1</v>
      </c>
      <c r="Q362">
        <v>2</v>
      </c>
      <c r="R362">
        <v>2</v>
      </c>
      <c r="Z362">
        <v>2</v>
      </c>
      <c r="AA362">
        <v>4</v>
      </c>
      <c r="AB362">
        <v>35</v>
      </c>
      <c r="AK362">
        <v>3</v>
      </c>
      <c r="AO362" t="s">
        <v>1423</v>
      </c>
      <c r="AQ362" t="s">
        <v>643</v>
      </c>
    </row>
    <row r="363" spans="1:43">
      <c r="A363">
        <v>730</v>
      </c>
      <c r="B363">
        <v>1</v>
      </c>
      <c r="C363" t="s">
        <v>338</v>
      </c>
      <c r="D363">
        <v>5</v>
      </c>
      <c r="G363">
        <v>1</v>
      </c>
      <c r="L363">
        <v>2</v>
      </c>
      <c r="N363">
        <v>1</v>
      </c>
      <c r="Q363">
        <v>3</v>
      </c>
      <c r="R363">
        <v>2</v>
      </c>
      <c r="Z363">
        <v>2</v>
      </c>
      <c r="AK363">
        <v>3</v>
      </c>
      <c r="AO363" t="s">
        <v>1423</v>
      </c>
      <c r="AQ363" t="s">
        <v>643</v>
      </c>
    </row>
    <row r="364" spans="1:43">
      <c r="A364">
        <v>731</v>
      </c>
      <c r="B364">
        <v>1</v>
      </c>
      <c r="C364" t="s">
        <v>339</v>
      </c>
      <c r="D364">
        <v>6</v>
      </c>
      <c r="J364">
        <v>1</v>
      </c>
      <c r="L364">
        <v>2</v>
      </c>
      <c r="N364">
        <v>1</v>
      </c>
      <c r="Q364">
        <v>2</v>
      </c>
      <c r="R364">
        <v>3</v>
      </c>
      <c r="Z364">
        <v>2</v>
      </c>
      <c r="AK364">
        <v>4</v>
      </c>
      <c r="AO364" t="s">
        <v>1418</v>
      </c>
      <c r="AQ364" t="s">
        <v>631</v>
      </c>
    </row>
    <row r="365" spans="1:43">
      <c r="A365">
        <v>732</v>
      </c>
      <c r="B365">
        <v>1</v>
      </c>
      <c r="C365" t="s">
        <v>340</v>
      </c>
      <c r="D365">
        <v>10</v>
      </c>
      <c r="J365">
        <v>2</v>
      </c>
      <c r="L365">
        <v>2</v>
      </c>
      <c r="N365">
        <v>1</v>
      </c>
      <c r="Q365">
        <v>5</v>
      </c>
      <c r="R365">
        <v>6</v>
      </c>
      <c r="Z365">
        <v>3</v>
      </c>
      <c r="AK365">
        <v>8</v>
      </c>
      <c r="AO365" t="s">
        <v>1418</v>
      </c>
      <c r="AQ365" t="s">
        <v>631</v>
      </c>
    </row>
    <row r="366" spans="1:43" ht="14.25">
      <c r="A366">
        <v>733</v>
      </c>
      <c r="B366">
        <v>4</v>
      </c>
      <c r="C366" t="s">
        <v>341</v>
      </c>
      <c r="D366">
        <v>20</v>
      </c>
      <c r="N366">
        <v>4</v>
      </c>
      <c r="P366">
        <v>18</v>
      </c>
      <c r="Q366">
        <v>20</v>
      </c>
      <c r="S366">
        <v>15</v>
      </c>
      <c r="X366">
        <v>15</v>
      </c>
      <c r="AG366">
        <v>13</v>
      </c>
      <c r="AL366">
        <v>6</v>
      </c>
      <c r="AO366" t="s">
        <v>1427</v>
      </c>
      <c r="AP366" s="4"/>
      <c r="AQ366" t="s">
        <v>678</v>
      </c>
    </row>
    <row r="367" spans="1:43">
      <c r="A367">
        <v>734</v>
      </c>
      <c r="B367">
        <v>1</v>
      </c>
      <c r="C367" t="s">
        <v>342</v>
      </c>
      <c r="D367">
        <v>11</v>
      </c>
      <c r="J367">
        <v>3</v>
      </c>
      <c r="L367">
        <v>3</v>
      </c>
      <c r="N367">
        <v>1</v>
      </c>
      <c r="Q367">
        <v>8</v>
      </c>
      <c r="R367">
        <v>12</v>
      </c>
      <c r="Z367">
        <v>4</v>
      </c>
      <c r="AK367">
        <v>9</v>
      </c>
      <c r="AO367" t="s">
        <v>1420</v>
      </c>
      <c r="AQ367" t="s">
        <v>624</v>
      </c>
    </row>
    <row r="368" spans="1:43">
      <c r="A368">
        <v>735</v>
      </c>
      <c r="B368">
        <v>1</v>
      </c>
      <c r="C368" t="s">
        <v>343</v>
      </c>
      <c r="D368">
        <v>21</v>
      </c>
      <c r="J368">
        <v>6</v>
      </c>
      <c r="L368">
        <v>4</v>
      </c>
      <c r="N368">
        <v>1</v>
      </c>
      <c r="Q368">
        <v>12</v>
      </c>
      <c r="R368">
        <v>21</v>
      </c>
      <c r="Z368">
        <v>4</v>
      </c>
      <c r="AK368">
        <v>12</v>
      </c>
      <c r="AO368" t="s">
        <v>1420</v>
      </c>
      <c r="AQ368" t="s">
        <v>679</v>
      </c>
    </row>
    <row r="369" spans="1:43">
      <c r="A369">
        <v>736</v>
      </c>
      <c r="B369">
        <v>1</v>
      </c>
      <c r="C369" t="s">
        <v>344</v>
      </c>
      <c r="D369">
        <v>32</v>
      </c>
      <c r="K369">
        <v>-3</v>
      </c>
      <c r="L369">
        <v>4</v>
      </c>
      <c r="N369">
        <v>1</v>
      </c>
      <c r="Q369">
        <v>31</v>
      </c>
      <c r="R369">
        <v>30</v>
      </c>
      <c r="Z369">
        <v>4</v>
      </c>
      <c r="AK369">
        <v>16</v>
      </c>
      <c r="AO369" t="s">
        <v>1420</v>
      </c>
      <c r="AQ369" t="s">
        <v>680</v>
      </c>
    </row>
    <row r="370" spans="1:43">
      <c r="A370">
        <v>737</v>
      </c>
      <c r="B370">
        <v>1</v>
      </c>
      <c r="C370" t="s">
        <v>345</v>
      </c>
      <c r="D370">
        <v>22</v>
      </c>
      <c r="G370">
        <v>1</v>
      </c>
      <c r="L370">
        <v>3</v>
      </c>
      <c r="N370">
        <v>1</v>
      </c>
      <c r="Q370">
        <v>18</v>
      </c>
      <c r="R370">
        <v>21</v>
      </c>
      <c r="Z370">
        <v>4</v>
      </c>
      <c r="AK370">
        <v>13</v>
      </c>
      <c r="AO370" t="s">
        <v>1423</v>
      </c>
      <c r="AQ370" t="s">
        <v>634</v>
      </c>
    </row>
    <row r="371" spans="1:43">
      <c r="A371">
        <v>738</v>
      </c>
      <c r="B371">
        <v>1</v>
      </c>
      <c r="C371" t="s">
        <v>346</v>
      </c>
      <c r="D371">
        <v>19</v>
      </c>
      <c r="G371">
        <v>1</v>
      </c>
      <c r="J371">
        <v>1</v>
      </c>
      <c r="L371">
        <v>3</v>
      </c>
      <c r="N371">
        <v>1</v>
      </c>
      <c r="Q371">
        <v>12</v>
      </c>
      <c r="R371">
        <v>20</v>
      </c>
      <c r="Z371">
        <v>4</v>
      </c>
      <c r="AK371">
        <v>10</v>
      </c>
      <c r="AO371" t="s">
        <v>1423</v>
      </c>
      <c r="AQ371" t="s">
        <v>634</v>
      </c>
    </row>
    <row r="372" spans="1:43">
      <c r="A372">
        <v>739</v>
      </c>
      <c r="B372">
        <v>1</v>
      </c>
      <c r="C372" t="s">
        <v>347</v>
      </c>
      <c r="D372">
        <v>14</v>
      </c>
      <c r="G372">
        <v>5</v>
      </c>
      <c r="J372">
        <v>2</v>
      </c>
      <c r="L372">
        <v>3</v>
      </c>
      <c r="N372">
        <v>1</v>
      </c>
      <c r="Q372">
        <v>9</v>
      </c>
      <c r="R372">
        <v>13</v>
      </c>
      <c r="Z372">
        <v>4</v>
      </c>
      <c r="AK372">
        <v>9</v>
      </c>
      <c r="AO372" t="s">
        <v>1418</v>
      </c>
      <c r="AQ372" t="s">
        <v>624</v>
      </c>
    </row>
    <row r="373" spans="1:43">
      <c r="A373">
        <v>740</v>
      </c>
      <c r="B373">
        <v>1</v>
      </c>
      <c r="C373" t="s">
        <v>348</v>
      </c>
      <c r="D373">
        <v>16</v>
      </c>
      <c r="L373">
        <v>3</v>
      </c>
      <c r="N373">
        <v>1</v>
      </c>
      <c r="Q373">
        <v>10</v>
      </c>
      <c r="R373">
        <v>14</v>
      </c>
      <c r="Z373">
        <v>4</v>
      </c>
      <c r="AK373">
        <v>10</v>
      </c>
      <c r="AO373" t="s">
        <v>1418</v>
      </c>
      <c r="AQ373" t="s">
        <v>634</v>
      </c>
    </row>
    <row r="374" spans="1:43">
      <c r="A374">
        <v>741</v>
      </c>
      <c r="B374">
        <v>1</v>
      </c>
      <c r="C374" t="s">
        <v>349</v>
      </c>
      <c r="D374">
        <v>22</v>
      </c>
      <c r="G374">
        <v>2</v>
      </c>
      <c r="J374">
        <v>2</v>
      </c>
      <c r="L374">
        <v>3</v>
      </c>
      <c r="N374">
        <v>1</v>
      </c>
      <c r="Q374">
        <v>18</v>
      </c>
      <c r="R374">
        <v>21</v>
      </c>
      <c r="S374">
        <v>1</v>
      </c>
      <c r="Z374">
        <v>4</v>
      </c>
      <c r="AK374">
        <v>13</v>
      </c>
      <c r="AO374" t="s">
        <v>1418</v>
      </c>
      <c r="AQ374" t="s">
        <v>634</v>
      </c>
    </row>
    <row r="375" spans="1:43">
      <c r="A375">
        <v>742</v>
      </c>
      <c r="B375">
        <v>1</v>
      </c>
      <c r="C375" t="s">
        <v>350</v>
      </c>
      <c r="D375">
        <v>12</v>
      </c>
      <c r="J375">
        <v>3</v>
      </c>
      <c r="L375">
        <v>3</v>
      </c>
      <c r="N375">
        <v>1</v>
      </c>
      <c r="Q375">
        <v>12</v>
      </c>
      <c r="R375">
        <v>16</v>
      </c>
      <c r="Z375">
        <v>4</v>
      </c>
      <c r="AK375">
        <v>9</v>
      </c>
      <c r="AO375" t="s">
        <v>1422</v>
      </c>
      <c r="AQ375" t="s">
        <v>624</v>
      </c>
    </row>
    <row r="376" spans="1:43">
      <c r="A376">
        <v>743</v>
      </c>
      <c r="B376">
        <v>4</v>
      </c>
      <c r="C376" t="s">
        <v>351</v>
      </c>
      <c r="D376">
        <v>8</v>
      </c>
      <c r="N376">
        <v>4</v>
      </c>
      <c r="P376">
        <v>11</v>
      </c>
      <c r="Q376">
        <v>5</v>
      </c>
      <c r="S376">
        <v>7</v>
      </c>
      <c r="X376">
        <v>5</v>
      </c>
      <c r="AG376">
        <v>4</v>
      </c>
      <c r="AL376">
        <v>6</v>
      </c>
      <c r="AO376" t="s">
        <v>1428</v>
      </c>
      <c r="AQ376" t="s">
        <v>678</v>
      </c>
    </row>
    <row r="377" spans="1:43">
      <c r="A377">
        <v>744</v>
      </c>
      <c r="B377">
        <v>1</v>
      </c>
      <c r="C377" t="s">
        <v>352</v>
      </c>
      <c r="D377">
        <v>1</v>
      </c>
      <c r="G377">
        <v>3</v>
      </c>
      <c r="L377">
        <v>1</v>
      </c>
      <c r="N377">
        <v>1</v>
      </c>
      <c r="Q377">
        <v>1</v>
      </c>
      <c r="R377">
        <v>1</v>
      </c>
      <c r="Z377">
        <v>1</v>
      </c>
      <c r="AA377">
        <v>4</v>
      </c>
      <c r="AB377">
        <v>35</v>
      </c>
      <c r="AK377">
        <v>1</v>
      </c>
      <c r="AO377" t="s">
        <v>1423</v>
      </c>
      <c r="AQ377" t="s">
        <v>628</v>
      </c>
    </row>
    <row r="378" spans="1:43">
      <c r="A378">
        <v>745</v>
      </c>
      <c r="B378">
        <v>1</v>
      </c>
      <c r="C378" t="s">
        <v>353</v>
      </c>
      <c r="D378">
        <v>4</v>
      </c>
      <c r="J378">
        <v>1</v>
      </c>
      <c r="L378">
        <v>1</v>
      </c>
      <c r="N378">
        <v>1</v>
      </c>
      <c r="Q378">
        <v>1</v>
      </c>
      <c r="R378">
        <v>1</v>
      </c>
      <c r="Z378">
        <v>1</v>
      </c>
      <c r="AK378">
        <v>1</v>
      </c>
      <c r="AO378" t="s">
        <v>1418</v>
      </c>
      <c r="AQ378" t="s">
        <v>628</v>
      </c>
    </row>
    <row r="379" spans="1:43">
      <c r="A379">
        <v>746</v>
      </c>
      <c r="B379">
        <v>12</v>
      </c>
      <c r="C379" t="s">
        <v>354</v>
      </c>
      <c r="D379">
        <v>1</v>
      </c>
      <c r="G379">
        <v>8</v>
      </c>
      <c r="N379">
        <v>12</v>
      </c>
      <c r="Q379">
        <v>4</v>
      </c>
      <c r="R379">
        <v>1</v>
      </c>
      <c r="S379">
        <v>1</v>
      </c>
      <c r="AO379" t="s">
        <v>1423</v>
      </c>
      <c r="AQ379" t="s">
        <v>577</v>
      </c>
    </row>
    <row r="380" spans="1:43">
      <c r="A380">
        <v>747</v>
      </c>
      <c r="B380">
        <v>12</v>
      </c>
      <c r="C380" t="s">
        <v>355</v>
      </c>
      <c r="D380">
        <v>2</v>
      </c>
      <c r="G380">
        <v>9</v>
      </c>
      <c r="J380">
        <v>3</v>
      </c>
      <c r="N380">
        <v>12</v>
      </c>
      <c r="Q380">
        <v>6</v>
      </c>
      <c r="R380">
        <v>1</v>
      </c>
      <c r="S380">
        <v>2</v>
      </c>
      <c r="AC380">
        <v>2</v>
      </c>
      <c r="AO380" t="s">
        <v>1425</v>
      </c>
      <c r="AQ380" t="s">
        <v>577</v>
      </c>
    </row>
    <row r="381" spans="1:43">
      <c r="A381">
        <v>748</v>
      </c>
      <c r="B381">
        <v>12</v>
      </c>
      <c r="C381" t="s">
        <v>356</v>
      </c>
      <c r="G381">
        <v>5</v>
      </c>
      <c r="N381">
        <v>12</v>
      </c>
      <c r="Q381">
        <v>1</v>
      </c>
      <c r="R381">
        <v>1</v>
      </c>
      <c r="AO381" t="s">
        <v>1418</v>
      </c>
      <c r="AQ381" t="s">
        <v>577</v>
      </c>
    </row>
    <row r="382" spans="1:43">
      <c r="A382">
        <v>749</v>
      </c>
      <c r="B382">
        <v>12</v>
      </c>
      <c r="C382" t="s">
        <v>357</v>
      </c>
      <c r="D382">
        <v>2</v>
      </c>
      <c r="G382">
        <v>12</v>
      </c>
      <c r="J382">
        <v>2</v>
      </c>
      <c r="N382">
        <v>12</v>
      </c>
      <c r="Q382">
        <v>6</v>
      </c>
      <c r="R382">
        <v>7</v>
      </c>
      <c r="AO382" t="s">
        <v>1418</v>
      </c>
      <c r="AQ382" t="s">
        <v>577</v>
      </c>
    </row>
    <row r="383" spans="1:43">
      <c r="A383">
        <v>750</v>
      </c>
      <c r="B383">
        <v>12</v>
      </c>
      <c r="C383" t="s">
        <v>358</v>
      </c>
      <c r="D383">
        <v>1</v>
      </c>
      <c r="G383">
        <v>8</v>
      </c>
      <c r="J383">
        <v>1</v>
      </c>
      <c r="K383">
        <v>1</v>
      </c>
      <c r="N383">
        <v>12</v>
      </c>
      <c r="Q383">
        <v>5</v>
      </c>
      <c r="R383">
        <v>1</v>
      </c>
      <c r="S383">
        <v>2</v>
      </c>
      <c r="AO383" t="s">
        <v>1418</v>
      </c>
      <c r="AQ383" t="s">
        <v>577</v>
      </c>
    </row>
    <row r="384" spans="1:43">
      <c r="A384">
        <v>751</v>
      </c>
      <c r="B384">
        <v>10</v>
      </c>
      <c r="C384" t="s">
        <v>359</v>
      </c>
      <c r="I384">
        <v>5</v>
      </c>
      <c r="K384">
        <v>7</v>
      </c>
      <c r="N384">
        <v>10</v>
      </c>
      <c r="O384">
        <v>1</v>
      </c>
      <c r="R384">
        <v>11</v>
      </c>
      <c r="S384">
        <v>11</v>
      </c>
      <c r="AO384" t="s">
        <v>1420</v>
      </c>
      <c r="AQ384" t="s">
        <v>582</v>
      </c>
    </row>
    <row r="385" spans="1:43">
      <c r="A385">
        <v>752</v>
      </c>
      <c r="B385">
        <v>12</v>
      </c>
      <c r="C385" t="s">
        <v>360</v>
      </c>
      <c r="G385">
        <v>5</v>
      </c>
      <c r="J385">
        <v>1</v>
      </c>
      <c r="N385">
        <v>12</v>
      </c>
      <c r="Q385">
        <v>2</v>
      </c>
      <c r="R385">
        <v>1</v>
      </c>
      <c r="AO385" t="s">
        <v>1418</v>
      </c>
      <c r="AQ385" t="s">
        <v>577</v>
      </c>
    </row>
    <row r="386" spans="1:43">
      <c r="A386">
        <v>753</v>
      </c>
      <c r="B386">
        <v>5</v>
      </c>
      <c r="C386" t="s">
        <v>361</v>
      </c>
      <c r="G386">
        <v>6</v>
      </c>
      <c r="J386">
        <v>1</v>
      </c>
      <c r="N386">
        <v>5</v>
      </c>
      <c r="P386">
        <v>1</v>
      </c>
      <c r="Q386">
        <v>2</v>
      </c>
      <c r="S386">
        <v>3</v>
      </c>
      <c r="T386">
        <v>1</v>
      </c>
      <c r="AG386">
        <v>6</v>
      </c>
      <c r="AO386" t="s">
        <v>1420</v>
      </c>
      <c r="AQ386" t="s">
        <v>573</v>
      </c>
    </row>
    <row r="387" spans="1:43" s="9" customFormat="1" ht="14.25">
      <c r="A387" s="9">
        <v>754</v>
      </c>
      <c r="B387" s="9">
        <v>5</v>
      </c>
      <c r="C387" s="9" t="s">
        <v>1416</v>
      </c>
      <c r="D387" s="9">
        <v>1</v>
      </c>
      <c r="G387" s="9">
        <v>7</v>
      </c>
      <c r="K387" s="9">
        <v>2</v>
      </c>
      <c r="N387" s="9">
        <v>5</v>
      </c>
      <c r="P387" s="9">
        <v>1</v>
      </c>
      <c r="Q387" s="9">
        <v>2</v>
      </c>
      <c r="S387" s="9">
        <v>6</v>
      </c>
      <c r="T387" s="9">
        <v>1</v>
      </c>
      <c r="W387"/>
      <c r="X387"/>
      <c r="Y387"/>
      <c r="AA387"/>
      <c r="AB387"/>
      <c r="AC387"/>
      <c r="AE387"/>
      <c r="AF387"/>
      <c r="AG387" s="9">
        <v>6</v>
      </c>
      <c r="AI387"/>
      <c r="AJ387"/>
      <c r="AL387"/>
      <c r="AM387"/>
      <c r="AN387"/>
      <c r="AO387" s="9" t="s">
        <v>1423</v>
      </c>
      <c r="AQ387" s="9" t="s">
        <v>573</v>
      </c>
    </row>
    <row r="388" spans="1:43" s="9" customFormat="1">
      <c r="A388" s="9">
        <v>755</v>
      </c>
      <c r="B388" s="9">
        <v>5</v>
      </c>
      <c r="C388" s="9" t="s">
        <v>362</v>
      </c>
      <c r="D388" s="9">
        <v>3</v>
      </c>
      <c r="G388" s="9">
        <v>12</v>
      </c>
      <c r="J388" s="9">
        <v>1</v>
      </c>
      <c r="K388" s="9">
        <v>2</v>
      </c>
      <c r="N388" s="9">
        <v>5</v>
      </c>
      <c r="P388" s="9">
        <v>3</v>
      </c>
      <c r="Q388" s="9">
        <v>7</v>
      </c>
      <c r="S388" s="9">
        <v>12</v>
      </c>
      <c r="T388" s="9">
        <v>1</v>
      </c>
      <c r="W388"/>
      <c r="X388"/>
      <c r="Y388"/>
      <c r="AA388"/>
      <c r="AB388"/>
      <c r="AC388"/>
      <c r="AE388"/>
      <c r="AF388"/>
      <c r="AG388" s="9">
        <v>10</v>
      </c>
      <c r="AI388"/>
      <c r="AJ388"/>
      <c r="AL388"/>
      <c r="AM388"/>
      <c r="AN388"/>
      <c r="AO388" s="9" t="s">
        <v>1423</v>
      </c>
      <c r="AQ388" s="9" t="s">
        <v>573</v>
      </c>
    </row>
    <row r="389" spans="1:43">
      <c r="A389">
        <v>756</v>
      </c>
      <c r="B389">
        <v>5</v>
      </c>
      <c r="C389" t="s">
        <v>363</v>
      </c>
      <c r="G389">
        <v>3</v>
      </c>
      <c r="N389">
        <v>5</v>
      </c>
      <c r="P389">
        <v>1</v>
      </c>
      <c r="Q389">
        <v>2</v>
      </c>
      <c r="S389">
        <v>2</v>
      </c>
      <c r="T389">
        <v>1</v>
      </c>
      <c r="AG389">
        <v>4</v>
      </c>
      <c r="AO389" t="s">
        <v>1418</v>
      </c>
      <c r="AQ389" t="s">
        <v>573</v>
      </c>
    </row>
    <row r="390" spans="1:43">
      <c r="A390">
        <v>757</v>
      </c>
      <c r="B390">
        <v>6</v>
      </c>
      <c r="C390" t="s">
        <v>364</v>
      </c>
      <c r="D390">
        <v>1</v>
      </c>
      <c r="F390">
        <v>8</v>
      </c>
      <c r="H390">
        <v>4</v>
      </c>
      <c r="I390">
        <v>1</v>
      </c>
      <c r="J390">
        <v>-2</v>
      </c>
      <c r="N390">
        <v>6</v>
      </c>
      <c r="P390">
        <v>2</v>
      </c>
      <c r="Q390">
        <v>3</v>
      </c>
      <c r="R390">
        <v>9</v>
      </c>
      <c r="S390">
        <v>4</v>
      </c>
      <c r="T390">
        <v>1</v>
      </c>
      <c r="Y390">
        <v>20</v>
      </c>
      <c r="AG390">
        <v>4</v>
      </c>
      <c r="AO390" t="s">
        <v>1429</v>
      </c>
      <c r="AQ390" t="s">
        <v>574</v>
      </c>
    </row>
    <row r="391" spans="1:43">
      <c r="A391">
        <v>758</v>
      </c>
      <c r="B391">
        <v>5</v>
      </c>
      <c r="C391" t="s">
        <v>365</v>
      </c>
      <c r="D391">
        <v>2</v>
      </c>
      <c r="G391">
        <v>9</v>
      </c>
      <c r="I391">
        <v>1</v>
      </c>
      <c r="J391">
        <v>1</v>
      </c>
      <c r="K391">
        <v>1</v>
      </c>
      <c r="N391">
        <v>5</v>
      </c>
      <c r="P391">
        <v>2</v>
      </c>
      <c r="Q391">
        <v>6</v>
      </c>
      <c r="S391">
        <v>7</v>
      </c>
      <c r="T391">
        <v>1</v>
      </c>
      <c r="AG391">
        <v>9</v>
      </c>
      <c r="AO391" t="s">
        <v>1418</v>
      </c>
      <c r="AQ391" t="s">
        <v>573</v>
      </c>
    </row>
    <row r="392" spans="1:43">
      <c r="A392">
        <v>759</v>
      </c>
      <c r="B392">
        <v>6</v>
      </c>
      <c r="C392" t="s">
        <v>366</v>
      </c>
      <c r="F392">
        <v>7</v>
      </c>
      <c r="H392">
        <v>4</v>
      </c>
      <c r="J392">
        <v>1</v>
      </c>
      <c r="N392">
        <v>6</v>
      </c>
      <c r="P392">
        <v>2</v>
      </c>
      <c r="Q392">
        <v>3</v>
      </c>
      <c r="S392">
        <v>3</v>
      </c>
      <c r="T392">
        <v>1</v>
      </c>
      <c r="AG392">
        <v>5</v>
      </c>
      <c r="AO392" t="s">
        <v>1420</v>
      </c>
      <c r="AQ392" t="s">
        <v>574</v>
      </c>
    </row>
    <row r="393" spans="1:43" s="9" customFormat="1">
      <c r="A393" s="9">
        <v>760</v>
      </c>
    </row>
    <row r="394" spans="1:43" s="9" customFormat="1" ht="14.25">
      <c r="A394" s="9">
        <v>761</v>
      </c>
      <c r="B394" s="9">
        <v>6</v>
      </c>
      <c r="C394" s="35" t="s">
        <v>1442</v>
      </c>
      <c r="D394" s="9">
        <v>1</v>
      </c>
      <c r="F394" s="9">
        <v>5</v>
      </c>
      <c r="G394" s="9">
        <v>4</v>
      </c>
      <c r="H394" s="9">
        <v>2</v>
      </c>
      <c r="N394" s="9">
        <v>6</v>
      </c>
      <c r="P394" s="9">
        <v>1</v>
      </c>
      <c r="Q394" s="9">
        <v>2</v>
      </c>
      <c r="S394" s="9">
        <v>2</v>
      </c>
      <c r="T394" s="9">
        <v>1</v>
      </c>
      <c r="W394"/>
      <c r="X394"/>
      <c r="Y394"/>
      <c r="AA394"/>
      <c r="AB394"/>
      <c r="AC394"/>
      <c r="AE394"/>
      <c r="AF394"/>
      <c r="AG394" s="9">
        <v>5</v>
      </c>
      <c r="AI394"/>
      <c r="AJ394"/>
      <c r="AL394"/>
      <c r="AM394"/>
      <c r="AN394"/>
      <c r="AO394" s="9" t="s">
        <v>1423</v>
      </c>
      <c r="AQ394" s="9" t="s">
        <v>574</v>
      </c>
    </row>
    <row r="395" spans="1:43">
      <c r="A395">
        <v>762</v>
      </c>
      <c r="B395">
        <v>7</v>
      </c>
      <c r="C395" t="s">
        <v>369</v>
      </c>
      <c r="E395">
        <v>6</v>
      </c>
      <c r="H395">
        <v>10</v>
      </c>
      <c r="I395">
        <v>2</v>
      </c>
      <c r="N395">
        <v>7</v>
      </c>
      <c r="P395">
        <v>2</v>
      </c>
      <c r="Q395">
        <v>6</v>
      </c>
      <c r="S395">
        <v>10</v>
      </c>
      <c r="T395">
        <v>1</v>
      </c>
      <c r="AG395">
        <v>7</v>
      </c>
      <c r="AO395" t="s">
        <v>1423</v>
      </c>
      <c r="AQ395" t="s">
        <v>572</v>
      </c>
    </row>
    <row r="396" spans="1:43">
      <c r="A396">
        <v>763</v>
      </c>
      <c r="B396">
        <v>6</v>
      </c>
      <c r="C396" t="s">
        <v>370</v>
      </c>
      <c r="D396">
        <v>1</v>
      </c>
      <c r="F396">
        <v>10</v>
      </c>
      <c r="G396">
        <v>2</v>
      </c>
      <c r="H396">
        <v>3</v>
      </c>
      <c r="I396">
        <v>2</v>
      </c>
      <c r="J396">
        <v>1</v>
      </c>
      <c r="K396">
        <v>2</v>
      </c>
      <c r="N396">
        <v>6</v>
      </c>
      <c r="P396">
        <v>2</v>
      </c>
      <c r="Q396">
        <v>3</v>
      </c>
      <c r="S396">
        <v>6</v>
      </c>
      <c r="T396">
        <v>1</v>
      </c>
      <c r="AG396">
        <v>7</v>
      </c>
      <c r="AO396" t="s">
        <v>1418</v>
      </c>
      <c r="AQ396" t="s">
        <v>574</v>
      </c>
    </row>
    <row r="397" spans="1:43">
      <c r="A397">
        <v>764</v>
      </c>
      <c r="B397">
        <v>6</v>
      </c>
      <c r="C397" t="s">
        <v>371</v>
      </c>
      <c r="F397">
        <v>3</v>
      </c>
      <c r="G397">
        <v>6</v>
      </c>
      <c r="K397">
        <v>2</v>
      </c>
      <c r="N397">
        <v>6</v>
      </c>
      <c r="P397">
        <v>1</v>
      </c>
      <c r="Q397">
        <v>3</v>
      </c>
      <c r="S397">
        <v>6</v>
      </c>
      <c r="T397">
        <v>1</v>
      </c>
      <c r="AD397">
        <v>5</v>
      </c>
      <c r="AG397">
        <v>6</v>
      </c>
      <c r="AO397" t="s">
        <v>1422</v>
      </c>
      <c r="AQ397" t="s">
        <v>574</v>
      </c>
    </row>
    <row r="398" spans="1:43" s="9" customFormat="1">
      <c r="A398" s="9">
        <v>765</v>
      </c>
      <c r="B398" s="9">
        <v>7</v>
      </c>
      <c r="C398" s="9" t="s">
        <v>372</v>
      </c>
      <c r="D398" s="9">
        <v>1</v>
      </c>
      <c r="E398" s="9">
        <v>8</v>
      </c>
      <c r="H398" s="9">
        <v>5</v>
      </c>
      <c r="I398" s="9">
        <v>2</v>
      </c>
      <c r="J398" s="9">
        <v>2</v>
      </c>
      <c r="N398" s="9">
        <v>7</v>
      </c>
      <c r="P398" s="9">
        <v>1</v>
      </c>
      <c r="Q398" s="9">
        <v>4</v>
      </c>
      <c r="S398" s="9">
        <v>4</v>
      </c>
      <c r="T398" s="9">
        <v>1</v>
      </c>
      <c r="W398"/>
      <c r="X398"/>
      <c r="Y398"/>
      <c r="AA398"/>
      <c r="AB398"/>
      <c r="AC398"/>
      <c r="AE398"/>
      <c r="AF398"/>
      <c r="AG398" s="9">
        <v>5</v>
      </c>
      <c r="AI398"/>
      <c r="AJ398"/>
      <c r="AL398"/>
      <c r="AM398"/>
      <c r="AN398"/>
      <c r="AO398" s="9" t="s">
        <v>1423</v>
      </c>
      <c r="AQ398" s="9" t="s">
        <v>572</v>
      </c>
    </row>
    <row r="399" spans="1:43">
      <c r="A399">
        <v>766</v>
      </c>
      <c r="B399">
        <v>7</v>
      </c>
      <c r="C399" t="s">
        <v>373</v>
      </c>
      <c r="D399">
        <v>1</v>
      </c>
      <c r="E399">
        <v>7</v>
      </c>
      <c r="G399">
        <v>1</v>
      </c>
      <c r="H399">
        <v>5</v>
      </c>
      <c r="I399">
        <v>3</v>
      </c>
      <c r="J399">
        <v>1</v>
      </c>
      <c r="N399">
        <v>7</v>
      </c>
      <c r="P399">
        <v>2</v>
      </c>
      <c r="Q399">
        <v>6</v>
      </c>
      <c r="S399">
        <v>10</v>
      </c>
      <c r="T399">
        <v>1</v>
      </c>
      <c r="AG399">
        <v>7</v>
      </c>
      <c r="AO399" t="s">
        <v>1418</v>
      </c>
      <c r="AQ399" t="s">
        <v>572</v>
      </c>
    </row>
    <row r="400" spans="1:43">
      <c r="A400">
        <v>767</v>
      </c>
      <c r="B400">
        <v>8</v>
      </c>
      <c r="C400" t="s">
        <v>374</v>
      </c>
      <c r="F400">
        <v>1</v>
      </c>
      <c r="G400">
        <v>1</v>
      </c>
      <c r="H400">
        <v>5</v>
      </c>
      <c r="I400">
        <v>7</v>
      </c>
      <c r="J400">
        <v>1</v>
      </c>
      <c r="N400">
        <v>8</v>
      </c>
      <c r="P400">
        <v>1</v>
      </c>
      <c r="Q400">
        <v>1</v>
      </c>
      <c r="S400">
        <v>3</v>
      </c>
      <c r="T400">
        <v>2</v>
      </c>
      <c r="AG400">
        <v>7</v>
      </c>
      <c r="AO400" t="s">
        <v>1423</v>
      </c>
      <c r="AQ400" t="s">
        <v>585</v>
      </c>
    </row>
    <row r="401" spans="1:43">
      <c r="A401">
        <v>768</v>
      </c>
      <c r="B401">
        <v>8</v>
      </c>
      <c r="C401" t="s">
        <v>375</v>
      </c>
      <c r="F401">
        <v>1</v>
      </c>
      <c r="G401">
        <v>1</v>
      </c>
      <c r="H401">
        <v>3</v>
      </c>
      <c r="I401">
        <v>4</v>
      </c>
      <c r="J401">
        <v>1</v>
      </c>
      <c r="N401">
        <v>8</v>
      </c>
      <c r="P401">
        <v>1</v>
      </c>
      <c r="Q401">
        <v>1</v>
      </c>
      <c r="S401">
        <v>2</v>
      </c>
      <c r="T401">
        <v>2</v>
      </c>
      <c r="AG401">
        <v>5</v>
      </c>
      <c r="AO401" t="s">
        <v>1423</v>
      </c>
      <c r="AQ401" t="s">
        <v>585</v>
      </c>
    </row>
    <row r="402" spans="1:43">
      <c r="A402">
        <v>769</v>
      </c>
      <c r="B402">
        <v>10</v>
      </c>
      <c r="C402" t="s">
        <v>376</v>
      </c>
      <c r="I402">
        <v>10</v>
      </c>
      <c r="J402">
        <v>8</v>
      </c>
      <c r="N402">
        <v>10</v>
      </c>
      <c r="R402">
        <v>21</v>
      </c>
      <c r="S402">
        <v>18</v>
      </c>
      <c r="AO402" t="s">
        <v>1423</v>
      </c>
      <c r="AQ402" t="s">
        <v>577</v>
      </c>
    </row>
    <row r="403" spans="1:43">
      <c r="A403">
        <v>770</v>
      </c>
      <c r="B403">
        <v>10</v>
      </c>
      <c r="C403" t="s">
        <v>377</v>
      </c>
      <c r="I403">
        <v>15</v>
      </c>
      <c r="J403">
        <v>10</v>
      </c>
      <c r="N403">
        <v>10</v>
      </c>
      <c r="R403">
        <v>26</v>
      </c>
      <c r="S403">
        <v>26</v>
      </c>
      <c r="AO403" t="s">
        <v>1418</v>
      </c>
      <c r="AQ403" t="s">
        <v>577</v>
      </c>
    </row>
    <row r="404" spans="1:43">
      <c r="A404">
        <v>771</v>
      </c>
      <c r="B404">
        <v>3</v>
      </c>
      <c r="C404" t="s">
        <v>378</v>
      </c>
      <c r="E404">
        <v>3</v>
      </c>
      <c r="L404">
        <v>1</v>
      </c>
      <c r="N404">
        <v>3</v>
      </c>
      <c r="P404">
        <v>1</v>
      </c>
      <c r="Q404">
        <v>1</v>
      </c>
      <c r="R404">
        <v>1</v>
      </c>
      <c r="AQ404" t="s">
        <v>635</v>
      </c>
    </row>
    <row r="405" spans="1:43">
      <c r="A405">
        <v>772</v>
      </c>
      <c r="B405">
        <v>3</v>
      </c>
      <c r="C405" t="s">
        <v>379</v>
      </c>
      <c r="E405">
        <v>5</v>
      </c>
      <c r="L405">
        <v>1</v>
      </c>
      <c r="N405">
        <v>3</v>
      </c>
      <c r="P405">
        <v>1</v>
      </c>
      <c r="Q405">
        <v>2</v>
      </c>
      <c r="R405">
        <v>2</v>
      </c>
      <c r="AQ405" t="s">
        <v>635</v>
      </c>
    </row>
    <row r="406" spans="1:43">
      <c r="A406">
        <v>773</v>
      </c>
      <c r="B406">
        <v>3</v>
      </c>
      <c r="C406" t="s">
        <v>380</v>
      </c>
      <c r="E406">
        <v>7</v>
      </c>
      <c r="L406">
        <v>1</v>
      </c>
      <c r="N406">
        <v>3</v>
      </c>
      <c r="P406">
        <v>2</v>
      </c>
      <c r="Q406">
        <v>2</v>
      </c>
      <c r="R406">
        <v>2</v>
      </c>
      <c r="AQ406" t="s">
        <v>635</v>
      </c>
    </row>
    <row r="407" spans="1:43">
      <c r="A407">
        <v>774</v>
      </c>
      <c r="B407">
        <v>8</v>
      </c>
      <c r="C407" t="s">
        <v>381</v>
      </c>
      <c r="F407">
        <v>1</v>
      </c>
      <c r="G407">
        <v>2</v>
      </c>
      <c r="H407">
        <v>2</v>
      </c>
      <c r="I407">
        <v>6</v>
      </c>
      <c r="J407">
        <v>1</v>
      </c>
      <c r="N407">
        <v>8</v>
      </c>
      <c r="P407">
        <v>1</v>
      </c>
      <c r="Q407">
        <v>1</v>
      </c>
      <c r="S407">
        <v>3</v>
      </c>
      <c r="T407">
        <v>2</v>
      </c>
      <c r="AG407">
        <v>5</v>
      </c>
      <c r="AO407" t="s">
        <v>1420</v>
      </c>
      <c r="AQ407" t="s">
        <v>585</v>
      </c>
    </row>
    <row r="408" spans="1:43">
      <c r="A408">
        <v>775</v>
      </c>
      <c r="B408">
        <v>2</v>
      </c>
      <c r="C408" t="s">
        <v>382</v>
      </c>
      <c r="D408">
        <v>5</v>
      </c>
      <c r="J408">
        <v>1</v>
      </c>
      <c r="L408">
        <v>1</v>
      </c>
      <c r="N408">
        <v>2</v>
      </c>
      <c r="Q408">
        <v>2</v>
      </c>
      <c r="R408">
        <v>4</v>
      </c>
      <c r="Z408">
        <v>1</v>
      </c>
      <c r="AK408">
        <v>1</v>
      </c>
      <c r="AO408" t="s">
        <v>1423</v>
      </c>
      <c r="AQ408" t="s">
        <v>570</v>
      </c>
    </row>
    <row r="409" spans="1:43">
      <c r="A409">
        <v>776</v>
      </c>
      <c r="B409">
        <v>2</v>
      </c>
      <c r="C409" t="s">
        <v>383</v>
      </c>
      <c r="D409">
        <v>3</v>
      </c>
      <c r="G409">
        <v>6</v>
      </c>
      <c r="J409">
        <v>1</v>
      </c>
      <c r="L409">
        <v>1</v>
      </c>
      <c r="N409">
        <v>2</v>
      </c>
      <c r="Q409">
        <v>2</v>
      </c>
      <c r="R409">
        <v>4</v>
      </c>
      <c r="Z409">
        <v>1</v>
      </c>
      <c r="AA409">
        <v>4</v>
      </c>
      <c r="AB409">
        <v>35</v>
      </c>
      <c r="AK409">
        <v>1</v>
      </c>
      <c r="AO409" t="s">
        <v>1423</v>
      </c>
      <c r="AQ409" t="s">
        <v>570</v>
      </c>
    </row>
    <row r="410" spans="1:43" s="9" customFormat="1">
      <c r="A410" s="9">
        <v>777</v>
      </c>
    </row>
    <row r="411" spans="1:43">
      <c r="A411">
        <v>778</v>
      </c>
      <c r="B411">
        <v>1</v>
      </c>
      <c r="C411" t="s">
        <v>385</v>
      </c>
      <c r="D411">
        <v>19</v>
      </c>
      <c r="J411">
        <v>-3</v>
      </c>
      <c r="L411">
        <v>3</v>
      </c>
      <c r="N411">
        <v>1</v>
      </c>
      <c r="Q411">
        <v>19</v>
      </c>
      <c r="R411">
        <v>21</v>
      </c>
      <c r="Z411">
        <v>4</v>
      </c>
      <c r="AK411">
        <v>10</v>
      </c>
      <c r="AO411" t="s">
        <v>1425</v>
      </c>
      <c r="AQ411" t="s">
        <v>634</v>
      </c>
    </row>
    <row r="412" spans="1:43">
      <c r="A412">
        <v>779</v>
      </c>
      <c r="B412">
        <v>3</v>
      </c>
      <c r="C412" t="s">
        <v>386</v>
      </c>
      <c r="E412">
        <v>8</v>
      </c>
      <c r="H412">
        <v>3</v>
      </c>
      <c r="J412">
        <v>3</v>
      </c>
      <c r="L412">
        <v>1</v>
      </c>
      <c r="N412">
        <v>3</v>
      </c>
      <c r="P412">
        <v>2</v>
      </c>
      <c r="Q412">
        <v>2</v>
      </c>
      <c r="R412">
        <v>3</v>
      </c>
      <c r="AO412" t="s">
        <v>1420</v>
      </c>
      <c r="AQ412" t="s">
        <v>635</v>
      </c>
    </row>
    <row r="413" spans="1:43">
      <c r="A413">
        <v>780</v>
      </c>
      <c r="B413">
        <v>14</v>
      </c>
      <c r="C413" t="s">
        <v>387</v>
      </c>
      <c r="H413">
        <v>10</v>
      </c>
      <c r="N413">
        <v>14</v>
      </c>
      <c r="Q413">
        <v>3</v>
      </c>
      <c r="R413">
        <v>2</v>
      </c>
      <c r="S413">
        <v>2</v>
      </c>
      <c r="AL413">
        <v>8</v>
      </c>
      <c r="AO413" t="s">
        <v>1423</v>
      </c>
      <c r="AQ413" t="s">
        <v>637</v>
      </c>
    </row>
    <row r="414" spans="1:43">
      <c r="A414">
        <v>781</v>
      </c>
      <c r="B414">
        <v>14</v>
      </c>
      <c r="C414" t="s">
        <v>388</v>
      </c>
      <c r="H414">
        <v>9</v>
      </c>
      <c r="J414">
        <v>2</v>
      </c>
      <c r="N414">
        <v>14</v>
      </c>
      <c r="Q414">
        <v>3</v>
      </c>
      <c r="R414">
        <v>2</v>
      </c>
      <c r="S414">
        <v>2</v>
      </c>
      <c r="AL414">
        <v>8</v>
      </c>
      <c r="AO414" t="s">
        <v>1430</v>
      </c>
      <c r="AQ414" t="s">
        <v>637</v>
      </c>
    </row>
    <row r="415" spans="1:43" ht="14.25">
      <c r="A415">
        <v>782</v>
      </c>
      <c r="B415">
        <v>14</v>
      </c>
      <c r="C415" t="s">
        <v>389</v>
      </c>
      <c r="H415">
        <v>15</v>
      </c>
      <c r="J415">
        <v>5</v>
      </c>
      <c r="N415">
        <v>14</v>
      </c>
      <c r="Q415">
        <v>4</v>
      </c>
      <c r="R415">
        <v>3</v>
      </c>
      <c r="S415">
        <v>3</v>
      </c>
      <c r="AL415">
        <v>8</v>
      </c>
      <c r="AO415" t="s">
        <v>1430</v>
      </c>
      <c r="AP415" t="s">
        <v>692</v>
      </c>
      <c r="AQ415" t="s">
        <v>637</v>
      </c>
    </row>
    <row r="416" spans="1:43">
      <c r="A416">
        <v>783</v>
      </c>
      <c r="B416">
        <v>11</v>
      </c>
      <c r="C416" t="s">
        <v>390</v>
      </c>
      <c r="K416">
        <v>14</v>
      </c>
      <c r="N416">
        <v>11</v>
      </c>
      <c r="P416">
        <v>23</v>
      </c>
      <c r="R416">
        <v>26</v>
      </c>
      <c r="AM416">
        <v>8</v>
      </c>
      <c r="AO416" t="s">
        <v>1425</v>
      </c>
      <c r="AQ416" t="s">
        <v>579</v>
      </c>
    </row>
    <row r="417" spans="1:43">
      <c r="A417">
        <v>784</v>
      </c>
      <c r="B417">
        <v>1</v>
      </c>
      <c r="C417" t="s">
        <v>391</v>
      </c>
      <c r="D417">
        <v>7</v>
      </c>
      <c r="L417">
        <v>2</v>
      </c>
      <c r="N417">
        <v>1</v>
      </c>
      <c r="Q417">
        <v>2</v>
      </c>
      <c r="R417">
        <v>4</v>
      </c>
      <c r="Z417">
        <v>2</v>
      </c>
      <c r="AK417">
        <v>4</v>
      </c>
      <c r="AO417" t="s">
        <v>1423</v>
      </c>
      <c r="AQ417" t="s">
        <v>631</v>
      </c>
    </row>
    <row r="418" spans="1:43">
      <c r="A418">
        <v>785</v>
      </c>
      <c r="B418">
        <v>1</v>
      </c>
      <c r="C418" t="s">
        <v>392</v>
      </c>
      <c r="D418">
        <v>11</v>
      </c>
      <c r="L418">
        <v>2</v>
      </c>
      <c r="N418">
        <v>1</v>
      </c>
      <c r="Q418">
        <v>6</v>
      </c>
      <c r="R418">
        <v>7</v>
      </c>
      <c r="Z418">
        <v>3</v>
      </c>
      <c r="AK418">
        <v>7</v>
      </c>
      <c r="AO418" t="s">
        <v>1423</v>
      </c>
      <c r="AQ418" t="s">
        <v>643</v>
      </c>
    </row>
    <row r="419" spans="1:43">
      <c r="A419">
        <v>786</v>
      </c>
      <c r="B419">
        <v>18</v>
      </c>
      <c r="C419" t="s">
        <v>393</v>
      </c>
      <c r="D419">
        <v>3</v>
      </c>
      <c r="E419">
        <v>3</v>
      </c>
      <c r="F419">
        <v>3</v>
      </c>
      <c r="G419">
        <v>3</v>
      </c>
      <c r="H419">
        <v>3</v>
      </c>
      <c r="I419">
        <v>3</v>
      </c>
      <c r="J419">
        <v>3</v>
      </c>
      <c r="K419">
        <v>3</v>
      </c>
      <c r="M419">
        <v>3</v>
      </c>
      <c r="N419">
        <v>18</v>
      </c>
      <c r="O419">
        <v>3</v>
      </c>
      <c r="P419">
        <v>3</v>
      </c>
      <c r="R419">
        <v>3</v>
      </c>
      <c r="S419">
        <v>3</v>
      </c>
      <c r="AI419">
        <v>3</v>
      </c>
      <c r="AP419" t="s">
        <v>659</v>
      </c>
      <c r="AQ419" t="s">
        <v>582</v>
      </c>
    </row>
    <row r="420" spans="1:43">
      <c r="A420">
        <v>787</v>
      </c>
      <c r="B420">
        <v>1</v>
      </c>
      <c r="C420" t="s">
        <v>394</v>
      </c>
      <c r="D420">
        <v>20</v>
      </c>
      <c r="G420">
        <v>1</v>
      </c>
      <c r="J420">
        <v>1</v>
      </c>
      <c r="L420">
        <v>3</v>
      </c>
      <c r="N420">
        <v>1</v>
      </c>
      <c r="Q420">
        <v>16</v>
      </c>
      <c r="R420">
        <v>21</v>
      </c>
      <c r="Z420">
        <v>4</v>
      </c>
      <c r="AK420">
        <v>11</v>
      </c>
      <c r="AO420" t="s">
        <v>1423</v>
      </c>
      <c r="AQ420" t="s">
        <v>681</v>
      </c>
    </row>
    <row r="421" spans="1:43">
      <c r="A421">
        <v>788</v>
      </c>
      <c r="B421">
        <v>1</v>
      </c>
      <c r="C421" t="s">
        <v>395</v>
      </c>
      <c r="D421">
        <v>18</v>
      </c>
      <c r="L421">
        <v>3</v>
      </c>
      <c r="N421">
        <v>1</v>
      </c>
      <c r="Q421">
        <v>14</v>
      </c>
      <c r="R421">
        <v>20</v>
      </c>
      <c r="Z421">
        <v>4</v>
      </c>
      <c r="AK421">
        <v>12</v>
      </c>
      <c r="AO421" t="s">
        <v>1418</v>
      </c>
      <c r="AQ421" t="s">
        <v>679</v>
      </c>
    </row>
    <row r="422" spans="1:43">
      <c r="A422">
        <v>789</v>
      </c>
      <c r="B422">
        <v>6</v>
      </c>
      <c r="C422" t="s">
        <v>396</v>
      </c>
      <c r="F422">
        <v>15</v>
      </c>
      <c r="H422">
        <v>3</v>
      </c>
      <c r="I422">
        <v>3</v>
      </c>
      <c r="N422">
        <v>6</v>
      </c>
      <c r="P422">
        <v>5</v>
      </c>
      <c r="Q422">
        <v>5</v>
      </c>
      <c r="R422">
        <v>3</v>
      </c>
      <c r="S422">
        <v>14</v>
      </c>
      <c r="T422">
        <v>1</v>
      </c>
      <c r="AD422">
        <v>4</v>
      </c>
      <c r="AG422">
        <v>15</v>
      </c>
      <c r="AO422" t="s">
        <v>1418</v>
      </c>
      <c r="AQ422" t="s">
        <v>682</v>
      </c>
    </row>
    <row r="423" spans="1:43">
      <c r="A423">
        <v>790</v>
      </c>
      <c r="B423">
        <v>6</v>
      </c>
      <c r="C423" t="s">
        <v>397</v>
      </c>
      <c r="F423">
        <v>11</v>
      </c>
      <c r="G423">
        <v>2</v>
      </c>
      <c r="H423">
        <v>4</v>
      </c>
      <c r="I423">
        <v>1</v>
      </c>
      <c r="N423">
        <v>6</v>
      </c>
      <c r="P423">
        <v>2</v>
      </c>
      <c r="Q423">
        <v>5</v>
      </c>
      <c r="S423">
        <v>10</v>
      </c>
      <c r="T423">
        <v>1</v>
      </c>
      <c r="AO423" t="s">
        <v>1432</v>
      </c>
      <c r="AQ423" t="s">
        <v>574</v>
      </c>
    </row>
    <row r="424" spans="1:43">
      <c r="A424">
        <v>791</v>
      </c>
      <c r="B424">
        <v>5</v>
      </c>
      <c r="C424" t="s">
        <v>398</v>
      </c>
      <c r="D424">
        <v>2</v>
      </c>
      <c r="G424">
        <v>10</v>
      </c>
      <c r="K424">
        <v>-1</v>
      </c>
      <c r="N424">
        <v>5</v>
      </c>
      <c r="O424">
        <v>3</v>
      </c>
      <c r="P424">
        <v>4</v>
      </c>
      <c r="Q424">
        <v>7</v>
      </c>
      <c r="S424">
        <v>10</v>
      </c>
      <c r="T424">
        <v>1</v>
      </c>
      <c r="AD424">
        <v>4</v>
      </c>
      <c r="AG424">
        <v>10</v>
      </c>
      <c r="AO424" t="s">
        <v>1418</v>
      </c>
      <c r="AQ424" t="s">
        <v>573</v>
      </c>
    </row>
    <row r="425" spans="1:43" s="9" customFormat="1">
      <c r="A425" s="9">
        <v>792</v>
      </c>
      <c r="B425" s="9">
        <v>7</v>
      </c>
      <c r="C425" s="9" t="s">
        <v>399</v>
      </c>
      <c r="D425" s="9">
        <v>1</v>
      </c>
      <c r="E425" s="9">
        <v>4</v>
      </c>
      <c r="H425" s="9">
        <v>8</v>
      </c>
      <c r="I425" s="9">
        <v>1</v>
      </c>
      <c r="J425" s="9">
        <v>1</v>
      </c>
      <c r="N425" s="9">
        <v>7</v>
      </c>
      <c r="P425" s="9">
        <v>1</v>
      </c>
      <c r="Q425" s="9">
        <v>3</v>
      </c>
      <c r="S425" s="9">
        <v>2</v>
      </c>
      <c r="T425" s="9">
        <v>1</v>
      </c>
      <c r="W425" s="34"/>
      <c r="X425" s="34"/>
      <c r="Y425" s="34"/>
      <c r="AA425" s="34"/>
      <c r="AB425" s="34"/>
      <c r="AC425" s="34"/>
      <c r="AE425" s="34"/>
      <c r="AF425" s="34"/>
      <c r="AG425" s="9">
        <v>4</v>
      </c>
      <c r="AI425" s="34"/>
      <c r="AJ425" s="34"/>
      <c r="AL425" s="34"/>
      <c r="AM425" s="34"/>
      <c r="AN425" s="34"/>
      <c r="AO425" s="9" t="s">
        <v>1423</v>
      </c>
      <c r="AQ425" s="9" t="s">
        <v>572</v>
      </c>
    </row>
    <row r="426" spans="1:43">
      <c r="A426">
        <v>793</v>
      </c>
      <c r="B426">
        <v>6</v>
      </c>
      <c r="C426" t="s">
        <v>400</v>
      </c>
      <c r="D426">
        <v>1</v>
      </c>
      <c r="F426">
        <v>8</v>
      </c>
      <c r="G426">
        <v>2</v>
      </c>
      <c r="H426">
        <v>3</v>
      </c>
      <c r="I426">
        <v>2</v>
      </c>
      <c r="J426">
        <v>2</v>
      </c>
      <c r="K426">
        <v>2</v>
      </c>
      <c r="N426">
        <v>6</v>
      </c>
      <c r="P426">
        <v>2</v>
      </c>
      <c r="Q426">
        <v>4</v>
      </c>
      <c r="S426">
        <v>6</v>
      </c>
      <c r="T426">
        <v>1</v>
      </c>
      <c r="AG426">
        <v>7</v>
      </c>
      <c r="AO426" t="s">
        <v>1418</v>
      </c>
      <c r="AQ426" t="s">
        <v>574</v>
      </c>
    </row>
    <row r="427" spans="1:43">
      <c r="A427">
        <v>794</v>
      </c>
      <c r="B427">
        <v>6</v>
      </c>
      <c r="C427" t="s">
        <v>401</v>
      </c>
      <c r="D427">
        <v>1</v>
      </c>
      <c r="F427">
        <v>8</v>
      </c>
      <c r="G427">
        <v>10</v>
      </c>
      <c r="H427">
        <v>1</v>
      </c>
      <c r="I427">
        <v>1</v>
      </c>
      <c r="J427">
        <v>2</v>
      </c>
      <c r="K427">
        <v>2</v>
      </c>
      <c r="N427">
        <v>6</v>
      </c>
      <c r="P427">
        <v>5</v>
      </c>
      <c r="Q427">
        <v>8</v>
      </c>
      <c r="S427">
        <v>12</v>
      </c>
      <c r="T427">
        <v>1</v>
      </c>
      <c r="AD427">
        <v>5</v>
      </c>
      <c r="AG427">
        <v>12</v>
      </c>
      <c r="AO427" t="s">
        <v>1418</v>
      </c>
      <c r="AQ427" t="s">
        <v>682</v>
      </c>
    </row>
    <row r="428" spans="1:43">
      <c r="A428">
        <v>795</v>
      </c>
      <c r="B428">
        <v>7</v>
      </c>
      <c r="C428" t="s">
        <v>402</v>
      </c>
      <c r="D428">
        <v>1</v>
      </c>
      <c r="E428">
        <v>16</v>
      </c>
      <c r="H428">
        <v>3</v>
      </c>
      <c r="I428">
        <v>2</v>
      </c>
      <c r="J428">
        <v>1</v>
      </c>
      <c r="N428">
        <v>7</v>
      </c>
      <c r="P428">
        <v>3</v>
      </c>
      <c r="Q428">
        <v>7</v>
      </c>
      <c r="S428">
        <v>12</v>
      </c>
      <c r="T428">
        <v>1</v>
      </c>
      <c r="AG428">
        <v>10</v>
      </c>
      <c r="AO428" t="s">
        <v>1418</v>
      </c>
      <c r="AQ428" t="s">
        <v>682</v>
      </c>
    </row>
    <row r="429" spans="1:43">
      <c r="A429">
        <v>796</v>
      </c>
      <c r="B429">
        <v>8</v>
      </c>
      <c r="C429" t="s">
        <v>403</v>
      </c>
      <c r="G429">
        <v>1</v>
      </c>
      <c r="H429">
        <v>2</v>
      </c>
      <c r="I429">
        <v>3</v>
      </c>
      <c r="K429">
        <v>4</v>
      </c>
      <c r="N429">
        <v>8</v>
      </c>
      <c r="O429">
        <v>5</v>
      </c>
      <c r="P429">
        <v>1</v>
      </c>
      <c r="Q429">
        <v>1</v>
      </c>
      <c r="S429">
        <v>3</v>
      </c>
      <c r="T429">
        <v>1</v>
      </c>
      <c r="AG429">
        <v>5</v>
      </c>
      <c r="AO429" t="s">
        <v>1422</v>
      </c>
      <c r="AQ429" t="s">
        <v>574</v>
      </c>
    </row>
    <row r="430" spans="1:43">
      <c r="A430">
        <v>797</v>
      </c>
      <c r="B430">
        <v>3</v>
      </c>
      <c r="C430" t="s">
        <v>404</v>
      </c>
      <c r="E430">
        <v>9</v>
      </c>
      <c r="L430">
        <v>1</v>
      </c>
      <c r="N430">
        <v>3</v>
      </c>
      <c r="P430">
        <v>2</v>
      </c>
      <c r="Q430">
        <v>2</v>
      </c>
      <c r="R430">
        <v>3</v>
      </c>
      <c r="AO430" t="s">
        <v>1429</v>
      </c>
      <c r="AQ430" t="s">
        <v>635</v>
      </c>
    </row>
    <row r="431" spans="1:43">
      <c r="A431">
        <v>798</v>
      </c>
      <c r="B431">
        <v>3</v>
      </c>
      <c r="C431" t="s">
        <v>405</v>
      </c>
      <c r="E431">
        <v>12</v>
      </c>
      <c r="J431">
        <v>4</v>
      </c>
      <c r="L431">
        <v>1</v>
      </c>
      <c r="N431">
        <v>3</v>
      </c>
      <c r="P431">
        <v>2</v>
      </c>
      <c r="Q431">
        <v>2</v>
      </c>
      <c r="R431">
        <v>4</v>
      </c>
      <c r="AJ431">
        <v>1</v>
      </c>
      <c r="AO431" t="s">
        <v>1420</v>
      </c>
      <c r="AQ431" t="s">
        <v>595</v>
      </c>
    </row>
    <row r="432" spans="1:43">
      <c r="A432">
        <v>799</v>
      </c>
      <c r="B432">
        <v>3</v>
      </c>
      <c r="C432" t="s">
        <v>406</v>
      </c>
      <c r="E432">
        <v>12</v>
      </c>
      <c r="J432">
        <v>1</v>
      </c>
      <c r="L432">
        <v>1</v>
      </c>
      <c r="N432">
        <v>3</v>
      </c>
      <c r="P432">
        <v>2</v>
      </c>
      <c r="Q432">
        <v>3</v>
      </c>
      <c r="R432">
        <v>3</v>
      </c>
      <c r="AJ432">
        <v>1</v>
      </c>
      <c r="AO432" t="s">
        <v>1418</v>
      </c>
      <c r="AQ432" t="s">
        <v>595</v>
      </c>
    </row>
    <row r="433" spans="1:43">
      <c r="A433">
        <v>800</v>
      </c>
      <c r="B433">
        <v>12</v>
      </c>
      <c r="C433" t="s">
        <v>407</v>
      </c>
      <c r="D433">
        <v>1</v>
      </c>
      <c r="G433">
        <v>12</v>
      </c>
      <c r="J433">
        <v>1</v>
      </c>
      <c r="K433">
        <v>3</v>
      </c>
      <c r="M433">
        <v>1</v>
      </c>
      <c r="N433">
        <v>12</v>
      </c>
      <c r="Q433">
        <v>7</v>
      </c>
      <c r="R433">
        <v>2</v>
      </c>
      <c r="S433">
        <v>4</v>
      </c>
      <c r="AC433">
        <v>2</v>
      </c>
      <c r="AO433" t="s">
        <v>1423</v>
      </c>
      <c r="AQ433" t="s">
        <v>577</v>
      </c>
    </row>
    <row r="434" spans="1:43">
      <c r="A434">
        <v>801</v>
      </c>
      <c r="B434">
        <v>10</v>
      </c>
      <c r="C434" t="s">
        <v>408</v>
      </c>
      <c r="D434">
        <v>4</v>
      </c>
      <c r="I434">
        <v>10</v>
      </c>
      <c r="J434">
        <v>13</v>
      </c>
      <c r="N434">
        <v>10</v>
      </c>
      <c r="R434">
        <v>28</v>
      </c>
      <c r="S434">
        <v>30</v>
      </c>
      <c r="AO434" t="s">
        <v>1423</v>
      </c>
      <c r="AQ434" t="s">
        <v>578</v>
      </c>
    </row>
    <row r="435" spans="1:43">
      <c r="A435">
        <v>802</v>
      </c>
      <c r="B435">
        <v>8</v>
      </c>
      <c r="C435" t="s">
        <v>409</v>
      </c>
      <c r="I435">
        <v>5</v>
      </c>
      <c r="N435">
        <v>8</v>
      </c>
      <c r="O435">
        <v>3</v>
      </c>
      <c r="P435">
        <v>1</v>
      </c>
      <c r="Q435">
        <v>1</v>
      </c>
      <c r="S435">
        <v>1</v>
      </c>
      <c r="T435">
        <v>2</v>
      </c>
      <c r="AG435">
        <v>4</v>
      </c>
      <c r="AO435" t="s">
        <v>1427</v>
      </c>
      <c r="AQ435" t="s">
        <v>585</v>
      </c>
    </row>
    <row r="436" spans="1:43">
      <c r="A436">
        <v>803</v>
      </c>
      <c r="B436">
        <v>1</v>
      </c>
      <c r="C436" t="s">
        <v>410</v>
      </c>
      <c r="D436">
        <v>3</v>
      </c>
      <c r="G436">
        <v>1</v>
      </c>
      <c r="L436">
        <v>2</v>
      </c>
      <c r="N436">
        <v>1</v>
      </c>
      <c r="Q436">
        <v>2</v>
      </c>
      <c r="R436">
        <v>1</v>
      </c>
      <c r="Z436">
        <v>1</v>
      </c>
      <c r="AK436">
        <v>2</v>
      </c>
      <c r="AO436" t="s">
        <v>1427</v>
      </c>
      <c r="AQ436" t="s">
        <v>631</v>
      </c>
    </row>
    <row r="437" spans="1:43">
      <c r="A437">
        <v>804</v>
      </c>
      <c r="B437">
        <v>1</v>
      </c>
      <c r="C437" t="s">
        <v>411</v>
      </c>
      <c r="D437">
        <v>4</v>
      </c>
      <c r="G437">
        <v>1</v>
      </c>
      <c r="L437">
        <v>1</v>
      </c>
      <c r="N437">
        <v>1</v>
      </c>
      <c r="Q437">
        <v>2</v>
      </c>
      <c r="R437">
        <v>1</v>
      </c>
      <c r="Z437">
        <v>1</v>
      </c>
      <c r="AK437">
        <v>1</v>
      </c>
      <c r="AO437" t="s">
        <v>1426</v>
      </c>
      <c r="AQ437" t="s">
        <v>628</v>
      </c>
    </row>
    <row r="438" spans="1:43">
      <c r="A438">
        <v>805</v>
      </c>
      <c r="B438">
        <v>14</v>
      </c>
      <c r="C438" t="s">
        <v>412</v>
      </c>
      <c r="H438">
        <v>8</v>
      </c>
      <c r="J438">
        <v>2</v>
      </c>
      <c r="N438">
        <v>14</v>
      </c>
      <c r="Q438">
        <v>3</v>
      </c>
      <c r="R438">
        <v>2</v>
      </c>
      <c r="S438">
        <v>1</v>
      </c>
      <c r="AL438">
        <v>8</v>
      </c>
      <c r="AO438" t="s">
        <v>1426</v>
      </c>
      <c r="AQ438" t="s">
        <v>637</v>
      </c>
    </row>
    <row r="439" spans="1:43">
      <c r="A439">
        <v>806</v>
      </c>
      <c r="B439">
        <v>1</v>
      </c>
      <c r="C439" t="s">
        <v>413</v>
      </c>
      <c r="D439">
        <v>15</v>
      </c>
      <c r="J439">
        <v>3</v>
      </c>
      <c r="L439">
        <v>3</v>
      </c>
      <c r="N439">
        <v>1</v>
      </c>
      <c r="Q439">
        <v>14</v>
      </c>
      <c r="R439">
        <v>18</v>
      </c>
      <c r="Z439">
        <v>4</v>
      </c>
      <c r="AK439">
        <v>9</v>
      </c>
      <c r="AO439" t="s">
        <v>1422</v>
      </c>
      <c r="AQ439" t="s">
        <v>624</v>
      </c>
    </row>
    <row r="440" spans="1:43">
      <c r="A440">
        <v>807</v>
      </c>
      <c r="B440">
        <v>1</v>
      </c>
      <c r="C440" t="s">
        <v>414</v>
      </c>
      <c r="D440">
        <v>2</v>
      </c>
      <c r="J440">
        <v>1</v>
      </c>
      <c r="L440">
        <v>1</v>
      </c>
      <c r="N440">
        <v>1</v>
      </c>
      <c r="Q440">
        <v>1</v>
      </c>
      <c r="R440">
        <v>1</v>
      </c>
      <c r="Z440">
        <v>1</v>
      </c>
      <c r="AK440">
        <v>1</v>
      </c>
      <c r="AO440" t="s">
        <v>1422</v>
      </c>
      <c r="AQ440" t="s">
        <v>628</v>
      </c>
    </row>
    <row r="441" spans="1:43" ht="14.25">
      <c r="A441">
        <v>808</v>
      </c>
      <c r="B441">
        <v>6</v>
      </c>
      <c r="C441" t="s">
        <v>1407</v>
      </c>
      <c r="F441">
        <v>7</v>
      </c>
      <c r="G441">
        <v>6</v>
      </c>
      <c r="H441">
        <v>3</v>
      </c>
      <c r="N441">
        <v>6</v>
      </c>
      <c r="P441">
        <v>2</v>
      </c>
      <c r="Q441">
        <v>3</v>
      </c>
      <c r="S441">
        <v>6</v>
      </c>
      <c r="T441">
        <v>1</v>
      </c>
      <c r="AD441">
        <v>5</v>
      </c>
      <c r="AG441">
        <v>5</v>
      </c>
      <c r="AO441" t="s">
        <v>1423</v>
      </c>
      <c r="AQ441" t="s">
        <v>683</v>
      </c>
    </row>
    <row r="442" spans="1:43">
      <c r="A442">
        <v>809</v>
      </c>
      <c r="B442">
        <v>1</v>
      </c>
      <c r="C442" t="s">
        <v>415</v>
      </c>
      <c r="D442">
        <v>3</v>
      </c>
      <c r="L442">
        <v>2</v>
      </c>
      <c r="N442">
        <v>1</v>
      </c>
      <c r="Q442">
        <v>2</v>
      </c>
      <c r="R442">
        <v>3</v>
      </c>
      <c r="Z442">
        <v>2</v>
      </c>
      <c r="AK442">
        <v>2</v>
      </c>
      <c r="AO442" t="s">
        <v>1423</v>
      </c>
      <c r="AQ442" t="s">
        <v>631</v>
      </c>
    </row>
    <row r="443" spans="1:43">
      <c r="A443">
        <v>810</v>
      </c>
      <c r="B443">
        <v>1</v>
      </c>
      <c r="C443" t="s">
        <v>416</v>
      </c>
      <c r="D443">
        <v>9</v>
      </c>
      <c r="K443">
        <v>2</v>
      </c>
      <c r="L443">
        <v>2</v>
      </c>
      <c r="N443">
        <v>1</v>
      </c>
      <c r="Q443">
        <v>5</v>
      </c>
      <c r="R443">
        <v>6</v>
      </c>
      <c r="Z443">
        <v>2</v>
      </c>
      <c r="AK443">
        <v>1</v>
      </c>
      <c r="AO443" t="s">
        <v>1425</v>
      </c>
      <c r="AQ443" t="s">
        <v>595</v>
      </c>
    </row>
    <row r="444" spans="1:43">
      <c r="A444">
        <v>811</v>
      </c>
      <c r="B444">
        <v>3</v>
      </c>
      <c r="C444" t="s">
        <v>417</v>
      </c>
      <c r="E444">
        <v>6</v>
      </c>
      <c r="K444">
        <v>3</v>
      </c>
      <c r="L444">
        <v>1</v>
      </c>
      <c r="N444">
        <v>3</v>
      </c>
      <c r="P444">
        <v>1</v>
      </c>
      <c r="Q444">
        <v>2</v>
      </c>
      <c r="R444">
        <v>2</v>
      </c>
      <c r="AJ444">
        <v>1</v>
      </c>
      <c r="AO444" t="s">
        <v>1425</v>
      </c>
      <c r="AQ444" t="s">
        <v>595</v>
      </c>
    </row>
    <row r="445" spans="1:43" s="9" customFormat="1">
      <c r="A445" s="9">
        <v>812</v>
      </c>
      <c r="B445" s="9">
        <v>5</v>
      </c>
      <c r="C445" s="9" t="s">
        <v>418</v>
      </c>
      <c r="D445" s="9">
        <v>1</v>
      </c>
      <c r="G445" s="9">
        <v>10</v>
      </c>
      <c r="J445" s="9">
        <v>1</v>
      </c>
      <c r="K445" s="9">
        <v>2</v>
      </c>
      <c r="M445" s="9">
        <v>1</v>
      </c>
      <c r="N445" s="9">
        <v>5</v>
      </c>
      <c r="P445" s="9">
        <v>1</v>
      </c>
      <c r="Q445" s="9">
        <v>3</v>
      </c>
      <c r="S445" s="9">
        <v>9</v>
      </c>
      <c r="T445" s="9">
        <v>1</v>
      </c>
      <c r="W445"/>
      <c r="X445"/>
      <c r="Y445"/>
      <c r="AA445"/>
      <c r="AB445"/>
      <c r="AC445"/>
      <c r="AE445"/>
      <c r="AF445"/>
      <c r="AG445" s="9">
        <v>7</v>
      </c>
      <c r="AI445"/>
      <c r="AJ445"/>
      <c r="AL445"/>
      <c r="AM445"/>
      <c r="AN445"/>
      <c r="AO445" s="9" t="s">
        <v>1423</v>
      </c>
      <c r="AQ445" s="9" t="s">
        <v>573</v>
      </c>
    </row>
    <row r="446" spans="1:43">
      <c r="A446">
        <v>813</v>
      </c>
      <c r="B446">
        <v>1</v>
      </c>
      <c r="C446" t="s">
        <v>419</v>
      </c>
      <c r="D446">
        <v>8</v>
      </c>
      <c r="L446">
        <v>3</v>
      </c>
      <c r="N446">
        <v>1</v>
      </c>
      <c r="Q446">
        <v>3</v>
      </c>
      <c r="R446">
        <v>4</v>
      </c>
      <c r="Z446">
        <v>3</v>
      </c>
      <c r="AK446">
        <v>5</v>
      </c>
      <c r="AO446" t="s">
        <v>1426</v>
      </c>
      <c r="AQ446" t="s">
        <v>631</v>
      </c>
    </row>
    <row r="447" spans="1:43">
      <c r="A447">
        <v>814</v>
      </c>
      <c r="B447">
        <v>8</v>
      </c>
      <c r="C447" t="s">
        <v>420</v>
      </c>
      <c r="F447">
        <v>2</v>
      </c>
      <c r="G447">
        <v>1</v>
      </c>
      <c r="H447">
        <v>3</v>
      </c>
      <c r="I447">
        <v>5</v>
      </c>
      <c r="J447">
        <v>1</v>
      </c>
      <c r="N447">
        <v>8</v>
      </c>
      <c r="P447">
        <v>1</v>
      </c>
      <c r="Q447">
        <v>1</v>
      </c>
      <c r="S447">
        <v>3</v>
      </c>
      <c r="T447">
        <v>2</v>
      </c>
      <c r="AG447">
        <v>6</v>
      </c>
      <c r="AO447" t="s">
        <v>1426</v>
      </c>
      <c r="AQ447" t="s">
        <v>585</v>
      </c>
    </row>
    <row r="448" spans="1:43">
      <c r="A448">
        <v>815</v>
      </c>
      <c r="B448">
        <v>6</v>
      </c>
      <c r="C448" t="s">
        <v>421</v>
      </c>
      <c r="D448">
        <v>1</v>
      </c>
      <c r="F448">
        <v>11</v>
      </c>
      <c r="G448">
        <v>2</v>
      </c>
      <c r="H448">
        <v>4</v>
      </c>
      <c r="I448">
        <v>6</v>
      </c>
      <c r="J448">
        <v>2</v>
      </c>
      <c r="K448">
        <v>2</v>
      </c>
      <c r="N448">
        <v>6</v>
      </c>
      <c r="P448">
        <v>2</v>
      </c>
      <c r="Q448">
        <v>4</v>
      </c>
      <c r="S448">
        <v>9</v>
      </c>
      <c r="T448">
        <v>1</v>
      </c>
      <c r="AG448">
        <v>5</v>
      </c>
      <c r="AO448" t="s">
        <v>1418</v>
      </c>
      <c r="AQ448" t="s">
        <v>574</v>
      </c>
    </row>
    <row r="449" spans="1:43">
      <c r="A449">
        <v>816</v>
      </c>
      <c r="B449">
        <v>5</v>
      </c>
      <c r="C449" t="s">
        <v>422</v>
      </c>
      <c r="G449">
        <v>10</v>
      </c>
      <c r="J449">
        <v>2</v>
      </c>
      <c r="K449">
        <v>6</v>
      </c>
      <c r="N449">
        <v>5</v>
      </c>
      <c r="P449">
        <v>1</v>
      </c>
      <c r="Q449">
        <v>1</v>
      </c>
      <c r="S449">
        <v>4</v>
      </c>
      <c r="T449">
        <v>1</v>
      </c>
      <c r="AG449">
        <v>4</v>
      </c>
      <c r="AO449" t="s">
        <v>1418</v>
      </c>
      <c r="AQ449" t="s">
        <v>573</v>
      </c>
    </row>
    <row r="450" spans="1:43">
      <c r="A450">
        <v>817</v>
      </c>
      <c r="B450">
        <v>5</v>
      </c>
      <c r="C450" t="s">
        <v>423</v>
      </c>
      <c r="G450">
        <v>8</v>
      </c>
      <c r="J450">
        <v>2</v>
      </c>
      <c r="N450">
        <v>5</v>
      </c>
      <c r="O450">
        <v>3</v>
      </c>
      <c r="P450">
        <v>2</v>
      </c>
      <c r="Q450">
        <v>2</v>
      </c>
      <c r="S450">
        <v>10</v>
      </c>
      <c r="T450">
        <v>3</v>
      </c>
      <c r="U450">
        <v>1</v>
      </c>
      <c r="V450">
        <v>3</v>
      </c>
      <c r="AG450">
        <v>5</v>
      </c>
      <c r="AO450" t="s">
        <v>1426</v>
      </c>
      <c r="AQ450" t="s">
        <v>684</v>
      </c>
    </row>
    <row r="451" spans="1:43">
      <c r="A451">
        <v>818</v>
      </c>
      <c r="B451">
        <v>5</v>
      </c>
      <c r="C451" t="s">
        <v>424</v>
      </c>
      <c r="G451">
        <v>7</v>
      </c>
      <c r="J451">
        <v>2</v>
      </c>
      <c r="K451">
        <v>3</v>
      </c>
      <c r="N451">
        <v>5</v>
      </c>
      <c r="O451">
        <v>2</v>
      </c>
      <c r="P451">
        <v>2</v>
      </c>
      <c r="Q451">
        <v>2</v>
      </c>
      <c r="S451">
        <v>9</v>
      </c>
      <c r="T451">
        <v>3</v>
      </c>
      <c r="U451">
        <v>1</v>
      </c>
      <c r="V451">
        <v>2</v>
      </c>
      <c r="AG451">
        <v>4</v>
      </c>
      <c r="AO451" t="s">
        <v>1427</v>
      </c>
      <c r="AQ451" t="s">
        <v>684</v>
      </c>
    </row>
    <row r="452" spans="1:43">
      <c r="A452">
        <v>819</v>
      </c>
      <c r="B452">
        <v>5</v>
      </c>
      <c r="C452" t="s">
        <v>425</v>
      </c>
      <c r="G452">
        <v>9</v>
      </c>
      <c r="J452">
        <v>3</v>
      </c>
      <c r="K452">
        <v>2</v>
      </c>
      <c r="N452">
        <v>5</v>
      </c>
      <c r="O452">
        <v>1</v>
      </c>
      <c r="P452">
        <v>2</v>
      </c>
      <c r="Q452">
        <v>2</v>
      </c>
      <c r="S452">
        <v>8</v>
      </c>
      <c r="T452">
        <v>1</v>
      </c>
      <c r="AG452">
        <v>4</v>
      </c>
      <c r="AO452" t="s">
        <v>1427</v>
      </c>
      <c r="AQ452" t="s">
        <v>573</v>
      </c>
    </row>
    <row r="453" spans="1:43">
      <c r="A453">
        <v>820</v>
      </c>
      <c r="B453">
        <v>6</v>
      </c>
      <c r="C453" t="s">
        <v>426</v>
      </c>
      <c r="D453">
        <v>1</v>
      </c>
      <c r="F453">
        <v>9</v>
      </c>
      <c r="G453">
        <v>2</v>
      </c>
      <c r="H453">
        <v>4</v>
      </c>
      <c r="I453">
        <v>3</v>
      </c>
      <c r="J453">
        <v>5</v>
      </c>
      <c r="K453">
        <v>2</v>
      </c>
      <c r="N453">
        <v>6</v>
      </c>
      <c r="O453">
        <v>1</v>
      </c>
      <c r="P453">
        <v>2</v>
      </c>
      <c r="Q453">
        <v>4</v>
      </c>
      <c r="S453">
        <v>6</v>
      </c>
      <c r="T453">
        <v>1</v>
      </c>
      <c r="AG453">
        <v>5</v>
      </c>
      <c r="AO453" t="s">
        <v>1418</v>
      </c>
      <c r="AQ453" t="s">
        <v>574</v>
      </c>
    </row>
    <row r="454" spans="1:43">
      <c r="A454">
        <v>821</v>
      </c>
      <c r="B454">
        <v>1</v>
      </c>
      <c r="C454" t="s">
        <v>427</v>
      </c>
      <c r="D454">
        <v>10</v>
      </c>
      <c r="J454">
        <v>2</v>
      </c>
      <c r="L454">
        <v>2</v>
      </c>
      <c r="N454">
        <v>1</v>
      </c>
      <c r="Q454">
        <v>5</v>
      </c>
      <c r="R454">
        <v>7</v>
      </c>
      <c r="Y454">
        <v>25</v>
      </c>
      <c r="Z454">
        <v>3</v>
      </c>
      <c r="AK454">
        <v>8</v>
      </c>
      <c r="AO454" t="s">
        <v>1418</v>
      </c>
      <c r="AQ454" t="s">
        <v>631</v>
      </c>
    </row>
    <row r="455" spans="1:43">
      <c r="A455">
        <v>822</v>
      </c>
      <c r="B455">
        <v>1</v>
      </c>
      <c r="C455" t="s">
        <v>428</v>
      </c>
      <c r="D455">
        <v>25</v>
      </c>
      <c r="G455">
        <v>1</v>
      </c>
      <c r="J455">
        <v>1</v>
      </c>
      <c r="L455">
        <v>3</v>
      </c>
      <c r="N455">
        <v>1</v>
      </c>
      <c r="Q455">
        <v>20</v>
      </c>
      <c r="R455">
        <v>22</v>
      </c>
      <c r="Z455">
        <v>4</v>
      </c>
      <c r="AK455">
        <v>13</v>
      </c>
      <c r="AO455" t="s">
        <v>1423</v>
      </c>
      <c r="AQ455" t="s">
        <v>634</v>
      </c>
    </row>
    <row r="456" spans="1:43">
      <c r="A456">
        <v>823</v>
      </c>
      <c r="B456">
        <v>1</v>
      </c>
      <c r="C456" t="s">
        <v>429</v>
      </c>
      <c r="D456">
        <v>11</v>
      </c>
      <c r="K456">
        <v>2</v>
      </c>
      <c r="L456">
        <v>2</v>
      </c>
      <c r="N456">
        <v>1</v>
      </c>
      <c r="Q456">
        <v>8</v>
      </c>
      <c r="R456">
        <v>10</v>
      </c>
      <c r="Z456">
        <v>4</v>
      </c>
      <c r="AK456">
        <v>1</v>
      </c>
      <c r="AO456" t="s">
        <v>1423</v>
      </c>
      <c r="AQ456" t="s">
        <v>595</v>
      </c>
    </row>
    <row r="457" spans="1:43">
      <c r="A457">
        <v>824</v>
      </c>
      <c r="B457">
        <v>18</v>
      </c>
      <c r="C457" t="s">
        <v>430</v>
      </c>
      <c r="N457">
        <v>18</v>
      </c>
      <c r="O457">
        <v>1</v>
      </c>
      <c r="Q457">
        <v>1</v>
      </c>
      <c r="R457">
        <v>1</v>
      </c>
      <c r="AO457" t="s">
        <v>1432</v>
      </c>
      <c r="AP457" t="s">
        <v>660</v>
      </c>
      <c r="AQ457" t="s">
        <v>582</v>
      </c>
    </row>
    <row r="458" spans="1:43">
      <c r="A458">
        <v>825</v>
      </c>
      <c r="B458">
        <v>18</v>
      </c>
      <c r="C458" t="s">
        <v>431</v>
      </c>
      <c r="M458">
        <v>1</v>
      </c>
      <c r="N458">
        <v>18</v>
      </c>
      <c r="O458">
        <v>1</v>
      </c>
      <c r="P458">
        <v>1</v>
      </c>
      <c r="R458">
        <v>1</v>
      </c>
      <c r="S458">
        <v>1</v>
      </c>
      <c r="AO458" t="s">
        <v>1432</v>
      </c>
      <c r="AP458" t="s">
        <v>661</v>
      </c>
      <c r="AQ458" t="s">
        <v>582</v>
      </c>
    </row>
    <row r="459" spans="1:43">
      <c r="A459">
        <v>826</v>
      </c>
      <c r="B459">
        <v>18</v>
      </c>
      <c r="C459" t="s">
        <v>432</v>
      </c>
      <c r="D459">
        <v>1</v>
      </c>
      <c r="E459">
        <v>1</v>
      </c>
      <c r="G459">
        <v>1</v>
      </c>
      <c r="H459">
        <v>3</v>
      </c>
      <c r="K459">
        <v>-1</v>
      </c>
      <c r="N459">
        <v>18</v>
      </c>
      <c r="O459">
        <v>1</v>
      </c>
      <c r="P459">
        <v>3</v>
      </c>
      <c r="R459">
        <v>8</v>
      </c>
      <c r="S459">
        <v>3</v>
      </c>
      <c r="AP459" t="s">
        <v>662</v>
      </c>
      <c r="AQ459" t="s">
        <v>582</v>
      </c>
    </row>
    <row r="460" spans="1:43">
      <c r="A460">
        <v>827</v>
      </c>
      <c r="B460">
        <v>1</v>
      </c>
      <c r="C460" t="s">
        <v>433</v>
      </c>
      <c r="D460">
        <v>3</v>
      </c>
      <c r="J460">
        <v>-2</v>
      </c>
      <c r="L460">
        <v>1</v>
      </c>
      <c r="N460">
        <v>1</v>
      </c>
      <c r="Q460">
        <v>1</v>
      </c>
      <c r="R460">
        <v>8</v>
      </c>
      <c r="AO460" t="s">
        <v>1432</v>
      </c>
      <c r="AP460" t="s">
        <v>663</v>
      </c>
      <c r="AQ460" t="s">
        <v>582</v>
      </c>
    </row>
    <row r="461" spans="1:43">
      <c r="A461">
        <v>828</v>
      </c>
      <c r="B461">
        <v>17</v>
      </c>
      <c r="C461" t="s">
        <v>434</v>
      </c>
      <c r="K461">
        <v>-1</v>
      </c>
      <c r="M461">
        <v>8</v>
      </c>
      <c r="N461">
        <v>17</v>
      </c>
      <c r="R461">
        <v>15</v>
      </c>
      <c r="S461">
        <v>15</v>
      </c>
      <c r="AP461" t="s">
        <v>664</v>
      </c>
      <c r="AQ461" t="s">
        <v>685</v>
      </c>
    </row>
    <row r="462" spans="1:43">
      <c r="A462">
        <v>829</v>
      </c>
      <c r="B462">
        <v>10</v>
      </c>
      <c r="C462" t="s">
        <v>435</v>
      </c>
      <c r="G462">
        <v>6</v>
      </c>
      <c r="I462">
        <v>7</v>
      </c>
      <c r="J462">
        <v>3</v>
      </c>
      <c r="N462">
        <v>10</v>
      </c>
      <c r="R462">
        <v>11</v>
      </c>
      <c r="S462">
        <v>12</v>
      </c>
      <c r="AO462" t="s">
        <v>1418</v>
      </c>
      <c r="AQ462" t="s">
        <v>577</v>
      </c>
    </row>
    <row r="463" spans="1:43">
      <c r="A463">
        <v>830</v>
      </c>
      <c r="B463">
        <v>10</v>
      </c>
      <c r="C463" t="s">
        <v>436</v>
      </c>
      <c r="G463">
        <v>9</v>
      </c>
      <c r="I463">
        <v>10</v>
      </c>
      <c r="J463">
        <v>9</v>
      </c>
      <c r="N463">
        <v>10</v>
      </c>
      <c r="R463">
        <v>25</v>
      </c>
      <c r="S463">
        <v>25</v>
      </c>
      <c r="AO463" t="s">
        <v>1419</v>
      </c>
      <c r="AQ463" t="s">
        <v>578</v>
      </c>
    </row>
    <row r="464" spans="1:43">
      <c r="A464">
        <v>831</v>
      </c>
      <c r="B464">
        <v>10</v>
      </c>
      <c r="C464" t="s">
        <v>437</v>
      </c>
      <c r="G464">
        <v>7</v>
      </c>
      <c r="I464">
        <v>7</v>
      </c>
      <c r="J464">
        <v>7</v>
      </c>
      <c r="N464">
        <v>10</v>
      </c>
      <c r="R464">
        <v>22</v>
      </c>
      <c r="S464">
        <v>23</v>
      </c>
      <c r="AO464" t="s">
        <v>1418</v>
      </c>
      <c r="AQ464" t="s">
        <v>578</v>
      </c>
    </row>
    <row r="465" spans="1:43">
      <c r="A465">
        <v>832</v>
      </c>
      <c r="B465">
        <v>10</v>
      </c>
      <c r="C465" t="s">
        <v>438</v>
      </c>
      <c r="D465">
        <v>2</v>
      </c>
      <c r="I465">
        <v>8</v>
      </c>
      <c r="J465">
        <v>10</v>
      </c>
      <c r="N465">
        <v>10</v>
      </c>
      <c r="R465">
        <v>23</v>
      </c>
      <c r="S465">
        <v>27</v>
      </c>
      <c r="AO465" t="s">
        <v>1436</v>
      </c>
      <c r="AQ465" t="s">
        <v>578</v>
      </c>
    </row>
    <row r="466" spans="1:43">
      <c r="A466">
        <v>833</v>
      </c>
      <c r="B466">
        <v>10</v>
      </c>
      <c r="C466" t="s">
        <v>439</v>
      </c>
      <c r="D466">
        <v>3</v>
      </c>
      <c r="G466">
        <v>8</v>
      </c>
      <c r="J466">
        <v>12</v>
      </c>
      <c r="N466">
        <v>10</v>
      </c>
      <c r="R466">
        <v>26</v>
      </c>
      <c r="S466">
        <v>28</v>
      </c>
      <c r="AO466" t="s">
        <v>1419</v>
      </c>
      <c r="AQ466" t="s">
        <v>578</v>
      </c>
    </row>
    <row r="467" spans="1:43">
      <c r="A467">
        <v>834</v>
      </c>
      <c r="B467">
        <v>3</v>
      </c>
      <c r="C467" t="s">
        <v>440</v>
      </c>
      <c r="E467">
        <v>12</v>
      </c>
      <c r="L467">
        <v>1</v>
      </c>
      <c r="N467">
        <v>3</v>
      </c>
      <c r="P467">
        <v>2</v>
      </c>
      <c r="Q467">
        <v>2</v>
      </c>
      <c r="R467">
        <v>3</v>
      </c>
      <c r="AO467" t="s">
        <v>1418</v>
      </c>
      <c r="AQ467" t="s">
        <v>635</v>
      </c>
    </row>
    <row r="468" spans="1:43" ht="14.25">
      <c r="A468">
        <v>835</v>
      </c>
      <c r="B468">
        <v>1</v>
      </c>
      <c r="C468" t="s">
        <v>1408</v>
      </c>
      <c r="D468">
        <v>24</v>
      </c>
      <c r="G468">
        <v>1</v>
      </c>
      <c r="L468">
        <v>3</v>
      </c>
      <c r="N468">
        <v>1</v>
      </c>
      <c r="Q468">
        <v>19</v>
      </c>
      <c r="R468">
        <v>22</v>
      </c>
      <c r="Z468">
        <v>4</v>
      </c>
      <c r="AK468">
        <v>13</v>
      </c>
      <c r="AO468" t="s">
        <v>1423</v>
      </c>
      <c r="AQ468" t="s">
        <v>634</v>
      </c>
    </row>
    <row r="469" spans="1:43">
      <c r="A469">
        <v>836</v>
      </c>
      <c r="B469">
        <v>18</v>
      </c>
      <c r="C469" t="s">
        <v>441</v>
      </c>
      <c r="D469">
        <v>1</v>
      </c>
      <c r="J469">
        <v>1</v>
      </c>
      <c r="K469">
        <v>1</v>
      </c>
      <c r="N469">
        <v>18</v>
      </c>
      <c r="O469">
        <v>5</v>
      </c>
      <c r="P469">
        <v>5</v>
      </c>
      <c r="R469">
        <v>2</v>
      </c>
      <c r="AO469" t="s">
        <v>1432</v>
      </c>
      <c r="AP469" t="s">
        <v>665</v>
      </c>
      <c r="AQ469" t="s">
        <v>582</v>
      </c>
    </row>
    <row r="470" spans="1:43">
      <c r="A470">
        <v>837</v>
      </c>
      <c r="B470">
        <v>18</v>
      </c>
      <c r="C470" t="s">
        <v>442</v>
      </c>
      <c r="D470">
        <v>1</v>
      </c>
      <c r="K470">
        <v>3</v>
      </c>
      <c r="M470">
        <v>3</v>
      </c>
      <c r="N470">
        <v>18</v>
      </c>
      <c r="Q470">
        <v>4</v>
      </c>
      <c r="R470">
        <v>6</v>
      </c>
      <c r="AO470" t="s">
        <v>1432</v>
      </c>
      <c r="AP470" t="s">
        <v>666</v>
      </c>
      <c r="AQ470" t="s">
        <v>582</v>
      </c>
    </row>
    <row r="471" spans="1:43">
      <c r="A471">
        <v>838</v>
      </c>
      <c r="B471">
        <v>1</v>
      </c>
      <c r="C471" t="s">
        <v>443</v>
      </c>
      <c r="D471">
        <v>21</v>
      </c>
      <c r="J471">
        <v>1</v>
      </c>
      <c r="L471">
        <v>3</v>
      </c>
      <c r="N471">
        <v>1</v>
      </c>
      <c r="Q471">
        <v>16</v>
      </c>
      <c r="R471">
        <v>20</v>
      </c>
      <c r="Z471">
        <v>4</v>
      </c>
      <c r="AK471">
        <v>12</v>
      </c>
      <c r="AO471" t="s">
        <v>1418</v>
      </c>
      <c r="AQ471" t="s">
        <v>679</v>
      </c>
    </row>
    <row r="472" spans="1:43" s="9" customFormat="1">
      <c r="A472" s="9">
        <v>839</v>
      </c>
      <c r="B472" s="9">
        <v>7</v>
      </c>
      <c r="C472" s="9" t="s">
        <v>444</v>
      </c>
      <c r="D472" s="9">
        <v>1</v>
      </c>
      <c r="E472" s="9">
        <v>10</v>
      </c>
      <c r="H472" s="9">
        <v>5</v>
      </c>
      <c r="I472" s="9">
        <v>2</v>
      </c>
      <c r="J472" s="9">
        <v>5</v>
      </c>
      <c r="N472" s="9">
        <v>7</v>
      </c>
      <c r="P472" s="9">
        <v>1</v>
      </c>
      <c r="Q472" s="9">
        <v>3</v>
      </c>
      <c r="S472" s="9">
        <v>2</v>
      </c>
      <c r="T472" s="9">
        <v>1</v>
      </c>
      <c r="W472"/>
      <c r="X472"/>
      <c r="Y472"/>
      <c r="AA472"/>
      <c r="AB472"/>
      <c r="AC472"/>
      <c r="AE472"/>
      <c r="AF472"/>
      <c r="AG472" s="9">
        <v>4</v>
      </c>
      <c r="AI472"/>
      <c r="AJ472"/>
      <c r="AL472"/>
      <c r="AM472"/>
      <c r="AN472"/>
      <c r="AO472" s="9" t="s">
        <v>1423</v>
      </c>
      <c r="AQ472" s="9" t="s">
        <v>572</v>
      </c>
    </row>
    <row r="473" spans="1:43">
      <c r="A473">
        <v>840</v>
      </c>
      <c r="B473">
        <v>9</v>
      </c>
      <c r="C473" t="s">
        <v>445</v>
      </c>
      <c r="H473">
        <v>3</v>
      </c>
      <c r="I473">
        <v>2</v>
      </c>
      <c r="N473">
        <v>9</v>
      </c>
      <c r="O473">
        <v>1</v>
      </c>
      <c r="P473">
        <v>1</v>
      </c>
      <c r="Q473">
        <v>1</v>
      </c>
      <c r="S473">
        <v>1</v>
      </c>
      <c r="T473">
        <v>2</v>
      </c>
      <c r="AG473">
        <v>4</v>
      </c>
      <c r="AO473" t="s">
        <v>1423</v>
      </c>
      <c r="AQ473" t="s">
        <v>587</v>
      </c>
    </row>
    <row r="474" spans="1:43">
      <c r="A474">
        <v>841</v>
      </c>
      <c r="B474">
        <v>9</v>
      </c>
      <c r="C474" t="s">
        <v>446</v>
      </c>
      <c r="H474">
        <v>5</v>
      </c>
      <c r="I474">
        <v>1</v>
      </c>
      <c r="N474">
        <v>9</v>
      </c>
      <c r="O474">
        <v>1</v>
      </c>
      <c r="P474">
        <v>1</v>
      </c>
      <c r="Q474">
        <v>1</v>
      </c>
      <c r="S474">
        <v>1</v>
      </c>
      <c r="T474">
        <v>2</v>
      </c>
      <c r="AG474">
        <v>4</v>
      </c>
      <c r="AO474" t="s">
        <v>1420</v>
      </c>
      <c r="AQ474" t="s">
        <v>587</v>
      </c>
    </row>
    <row r="475" spans="1:43">
      <c r="A475">
        <v>842</v>
      </c>
      <c r="B475">
        <v>10</v>
      </c>
      <c r="C475" t="s">
        <v>447</v>
      </c>
      <c r="G475">
        <v>7</v>
      </c>
      <c r="J475">
        <v>6</v>
      </c>
      <c r="N475">
        <v>10</v>
      </c>
      <c r="R475">
        <v>14</v>
      </c>
      <c r="S475">
        <v>14</v>
      </c>
      <c r="AO475" t="s">
        <v>1423</v>
      </c>
      <c r="AQ475" t="s">
        <v>577</v>
      </c>
    </row>
    <row r="476" spans="1:43">
      <c r="A476">
        <v>843</v>
      </c>
      <c r="B476">
        <v>13</v>
      </c>
      <c r="C476" t="s">
        <v>448</v>
      </c>
      <c r="G476">
        <v>8</v>
      </c>
      <c r="I476">
        <v>-1</v>
      </c>
      <c r="N476">
        <v>13</v>
      </c>
      <c r="R476">
        <v>10</v>
      </c>
      <c r="S476">
        <v>10</v>
      </c>
      <c r="AO476" t="s">
        <v>1420</v>
      </c>
      <c r="AQ476" t="s">
        <v>582</v>
      </c>
    </row>
    <row r="477" spans="1:43">
      <c r="A477">
        <v>844</v>
      </c>
      <c r="B477">
        <v>18</v>
      </c>
      <c r="C477" t="s">
        <v>449</v>
      </c>
      <c r="J477">
        <v>3</v>
      </c>
      <c r="M477">
        <v>3</v>
      </c>
      <c r="N477">
        <v>18</v>
      </c>
      <c r="R477">
        <v>2</v>
      </c>
      <c r="S477">
        <v>1</v>
      </c>
      <c r="AO477" t="s">
        <v>1423</v>
      </c>
      <c r="AQ477" t="s">
        <v>582</v>
      </c>
    </row>
    <row r="478" spans="1:43">
      <c r="A478">
        <v>845</v>
      </c>
      <c r="B478">
        <v>1</v>
      </c>
      <c r="C478" t="s">
        <v>450</v>
      </c>
      <c r="D478">
        <v>3</v>
      </c>
      <c r="K478">
        <v>-3</v>
      </c>
      <c r="L478">
        <v>1</v>
      </c>
      <c r="M478">
        <v>3</v>
      </c>
      <c r="N478">
        <v>1</v>
      </c>
      <c r="O478">
        <v>3</v>
      </c>
      <c r="R478">
        <v>2</v>
      </c>
      <c r="AO478" t="s">
        <v>1422</v>
      </c>
      <c r="AP478" t="s">
        <v>667</v>
      </c>
      <c r="AQ478" t="s">
        <v>582</v>
      </c>
    </row>
    <row r="479" spans="1:43">
      <c r="A479">
        <v>846</v>
      </c>
      <c r="B479">
        <v>18</v>
      </c>
      <c r="C479" t="s">
        <v>451</v>
      </c>
      <c r="D479">
        <v>4</v>
      </c>
      <c r="F479">
        <v>4</v>
      </c>
      <c r="J479">
        <v>-3</v>
      </c>
      <c r="N479">
        <v>18</v>
      </c>
      <c r="Q479">
        <v>11</v>
      </c>
      <c r="R479">
        <v>6</v>
      </c>
      <c r="Y479">
        <v>20</v>
      </c>
      <c r="AL479">
        <v>5</v>
      </c>
      <c r="AO479" t="s">
        <v>1423</v>
      </c>
      <c r="AQ479" t="s">
        <v>574</v>
      </c>
    </row>
    <row r="480" spans="1:43">
      <c r="A480">
        <v>847</v>
      </c>
      <c r="B480">
        <v>5</v>
      </c>
      <c r="C480" t="s">
        <v>452</v>
      </c>
      <c r="G480">
        <v>9</v>
      </c>
      <c r="J480">
        <v>2</v>
      </c>
      <c r="K480">
        <v>2</v>
      </c>
      <c r="N480">
        <v>5</v>
      </c>
      <c r="P480">
        <v>2</v>
      </c>
      <c r="Q480">
        <v>3</v>
      </c>
      <c r="S480">
        <v>8</v>
      </c>
      <c r="T480">
        <v>1</v>
      </c>
      <c r="AG480">
        <v>7</v>
      </c>
      <c r="AO480" t="s">
        <v>1420</v>
      </c>
      <c r="AQ480" t="s">
        <v>573</v>
      </c>
    </row>
    <row r="481" spans="1:43">
      <c r="A481">
        <v>848</v>
      </c>
      <c r="B481">
        <v>5</v>
      </c>
      <c r="C481" t="s">
        <v>453</v>
      </c>
      <c r="D481">
        <v>3</v>
      </c>
      <c r="G481">
        <v>13</v>
      </c>
      <c r="I481">
        <v>3</v>
      </c>
      <c r="J481">
        <v>3</v>
      </c>
      <c r="K481">
        <v>3</v>
      </c>
      <c r="N481">
        <v>5</v>
      </c>
      <c r="P481">
        <v>8</v>
      </c>
      <c r="Q481">
        <v>5</v>
      </c>
      <c r="R481">
        <v>1</v>
      </c>
      <c r="S481">
        <v>11</v>
      </c>
      <c r="T481">
        <v>1</v>
      </c>
      <c r="U481">
        <v>2</v>
      </c>
      <c r="V481">
        <v>2</v>
      </c>
      <c r="AD481">
        <v>4</v>
      </c>
      <c r="AG481">
        <v>12</v>
      </c>
      <c r="AO481" t="s">
        <v>1419</v>
      </c>
      <c r="AQ481" t="s">
        <v>682</v>
      </c>
    </row>
    <row r="482" spans="1:43">
      <c r="A482">
        <v>849</v>
      </c>
      <c r="B482">
        <v>10</v>
      </c>
      <c r="C482" t="s">
        <v>454</v>
      </c>
      <c r="D482">
        <v>1</v>
      </c>
      <c r="G482">
        <v>6</v>
      </c>
      <c r="J482">
        <v>9</v>
      </c>
      <c r="N482">
        <v>10</v>
      </c>
      <c r="R482">
        <v>22</v>
      </c>
      <c r="S482">
        <v>25</v>
      </c>
      <c r="AC482">
        <v>1</v>
      </c>
      <c r="AO482" t="s">
        <v>1419</v>
      </c>
      <c r="AQ482" t="s">
        <v>577</v>
      </c>
    </row>
    <row r="483" spans="1:43" ht="14.25">
      <c r="A483">
        <v>850</v>
      </c>
      <c r="B483">
        <v>1</v>
      </c>
      <c r="C483" t="s">
        <v>1409</v>
      </c>
      <c r="D483">
        <v>3</v>
      </c>
      <c r="G483">
        <v>8</v>
      </c>
      <c r="L483">
        <v>1</v>
      </c>
      <c r="N483">
        <v>1</v>
      </c>
      <c r="Q483">
        <v>1</v>
      </c>
      <c r="R483">
        <v>3</v>
      </c>
      <c r="Z483">
        <v>1</v>
      </c>
      <c r="AA483">
        <v>4</v>
      </c>
      <c r="AB483">
        <v>35</v>
      </c>
      <c r="AK483">
        <v>1</v>
      </c>
      <c r="AO483" t="s">
        <v>1423</v>
      </c>
      <c r="AQ483" t="s">
        <v>628</v>
      </c>
    </row>
    <row r="484" spans="1:43">
      <c r="A484">
        <v>851</v>
      </c>
      <c r="B484">
        <v>1</v>
      </c>
      <c r="C484" t="s">
        <v>455</v>
      </c>
      <c r="D484">
        <v>5</v>
      </c>
      <c r="J484">
        <v>1</v>
      </c>
      <c r="L484">
        <v>2</v>
      </c>
      <c r="N484">
        <v>1</v>
      </c>
      <c r="Q484">
        <v>3</v>
      </c>
      <c r="R484">
        <v>2</v>
      </c>
      <c r="Z484">
        <v>2</v>
      </c>
      <c r="AK484">
        <v>3</v>
      </c>
      <c r="AO484" t="s">
        <v>1425</v>
      </c>
      <c r="AQ484" t="s">
        <v>643</v>
      </c>
    </row>
    <row r="485" spans="1:43">
      <c r="A485">
        <v>852</v>
      </c>
      <c r="B485">
        <v>5</v>
      </c>
      <c r="C485" t="s">
        <v>456</v>
      </c>
      <c r="D485">
        <v>1</v>
      </c>
      <c r="G485">
        <v>6</v>
      </c>
      <c r="H485">
        <v>5</v>
      </c>
      <c r="I485">
        <v>1</v>
      </c>
      <c r="J485">
        <v>1</v>
      </c>
      <c r="K485">
        <v>2</v>
      </c>
      <c r="N485">
        <v>5</v>
      </c>
      <c r="P485">
        <v>1</v>
      </c>
      <c r="Q485">
        <v>3</v>
      </c>
      <c r="S485">
        <v>2</v>
      </c>
      <c r="T485">
        <v>1</v>
      </c>
      <c r="AG485">
        <v>6</v>
      </c>
      <c r="AO485" t="s">
        <v>1418</v>
      </c>
      <c r="AQ485" t="s">
        <v>573</v>
      </c>
    </row>
    <row r="486" spans="1:43">
      <c r="A486">
        <v>853</v>
      </c>
      <c r="B486">
        <v>1</v>
      </c>
      <c r="C486" t="s">
        <v>457</v>
      </c>
      <c r="D486">
        <v>10</v>
      </c>
      <c r="L486">
        <v>2</v>
      </c>
      <c r="N486">
        <v>1</v>
      </c>
      <c r="O486">
        <v>-3</v>
      </c>
      <c r="Q486">
        <v>8</v>
      </c>
      <c r="R486">
        <v>10</v>
      </c>
      <c r="Z486">
        <v>4</v>
      </c>
      <c r="AK486">
        <v>8</v>
      </c>
      <c r="AO486" t="s">
        <v>1426</v>
      </c>
      <c r="AP486" t="s">
        <v>668</v>
      </c>
      <c r="AQ486" t="s">
        <v>686</v>
      </c>
    </row>
    <row r="487" spans="1:43">
      <c r="A487">
        <v>854</v>
      </c>
      <c r="B487">
        <v>18</v>
      </c>
      <c r="C487" t="s">
        <v>458</v>
      </c>
      <c r="D487">
        <v>3</v>
      </c>
      <c r="M487">
        <v>2</v>
      </c>
      <c r="N487">
        <v>18</v>
      </c>
      <c r="O487">
        <v>5</v>
      </c>
      <c r="R487">
        <v>11</v>
      </c>
      <c r="S487">
        <v>3</v>
      </c>
      <c r="AO487" t="s">
        <v>1437</v>
      </c>
      <c r="AP487" t="s">
        <v>669</v>
      </c>
      <c r="AQ487" t="s">
        <v>582</v>
      </c>
    </row>
    <row r="488" spans="1:43">
      <c r="A488">
        <v>855</v>
      </c>
      <c r="B488">
        <v>5</v>
      </c>
      <c r="C488" t="s">
        <v>459</v>
      </c>
      <c r="D488">
        <v>2</v>
      </c>
      <c r="G488">
        <v>10</v>
      </c>
      <c r="J488">
        <v>5</v>
      </c>
      <c r="N488">
        <v>5</v>
      </c>
      <c r="P488">
        <v>3</v>
      </c>
      <c r="Q488">
        <v>2</v>
      </c>
      <c r="S488">
        <v>13</v>
      </c>
      <c r="T488">
        <v>3</v>
      </c>
      <c r="U488">
        <v>1</v>
      </c>
      <c r="V488">
        <v>2</v>
      </c>
      <c r="AG488">
        <v>7</v>
      </c>
      <c r="AO488" t="s">
        <v>1426</v>
      </c>
      <c r="AQ488" t="s">
        <v>642</v>
      </c>
    </row>
    <row r="489" spans="1:43">
      <c r="A489">
        <v>856</v>
      </c>
      <c r="B489">
        <v>5</v>
      </c>
      <c r="C489" t="s">
        <v>460</v>
      </c>
      <c r="D489">
        <v>2</v>
      </c>
      <c r="G489">
        <v>12</v>
      </c>
      <c r="J489">
        <v>3</v>
      </c>
      <c r="K489">
        <v>3</v>
      </c>
      <c r="N489">
        <v>5</v>
      </c>
      <c r="P489">
        <v>2</v>
      </c>
      <c r="Q489">
        <v>6</v>
      </c>
      <c r="S489">
        <v>7</v>
      </c>
      <c r="T489">
        <v>1</v>
      </c>
      <c r="AG489">
        <v>9</v>
      </c>
      <c r="AO489" t="s">
        <v>1418</v>
      </c>
      <c r="AQ489" t="s">
        <v>573</v>
      </c>
    </row>
    <row r="490" spans="1:43">
      <c r="A490">
        <v>857</v>
      </c>
      <c r="B490">
        <v>6</v>
      </c>
      <c r="C490" t="s">
        <v>461</v>
      </c>
      <c r="F490">
        <v>9</v>
      </c>
      <c r="G490">
        <v>1</v>
      </c>
      <c r="H490">
        <v>3</v>
      </c>
      <c r="I490">
        <v>1</v>
      </c>
      <c r="J490">
        <v>2</v>
      </c>
      <c r="K490">
        <v>3</v>
      </c>
      <c r="N490">
        <v>6</v>
      </c>
      <c r="O490">
        <v>1</v>
      </c>
      <c r="P490">
        <v>2</v>
      </c>
      <c r="Q490">
        <v>4</v>
      </c>
      <c r="S490">
        <v>7</v>
      </c>
      <c r="T490">
        <v>1</v>
      </c>
      <c r="AG490">
        <v>5</v>
      </c>
      <c r="AO490" t="s">
        <v>1418</v>
      </c>
      <c r="AQ490" t="s">
        <v>574</v>
      </c>
    </row>
    <row r="491" spans="1:43">
      <c r="A491">
        <v>858</v>
      </c>
      <c r="B491">
        <v>5</v>
      </c>
      <c r="C491" t="s">
        <v>462</v>
      </c>
      <c r="G491">
        <v>8</v>
      </c>
      <c r="J491">
        <v>3</v>
      </c>
      <c r="N491">
        <v>5</v>
      </c>
      <c r="O491">
        <v>3</v>
      </c>
      <c r="P491">
        <v>3</v>
      </c>
      <c r="Q491">
        <v>2</v>
      </c>
      <c r="S491">
        <v>14</v>
      </c>
      <c r="T491">
        <v>3</v>
      </c>
      <c r="U491">
        <v>3</v>
      </c>
      <c r="V491">
        <v>2</v>
      </c>
      <c r="AG491">
        <v>5</v>
      </c>
      <c r="AO491" t="s">
        <v>1420</v>
      </c>
      <c r="AQ491" t="s">
        <v>642</v>
      </c>
    </row>
    <row r="492" spans="1:43">
      <c r="A492">
        <v>859</v>
      </c>
      <c r="B492">
        <v>5</v>
      </c>
      <c r="C492" t="s">
        <v>463</v>
      </c>
      <c r="G492">
        <v>10</v>
      </c>
      <c r="K492">
        <v>2</v>
      </c>
      <c r="N492">
        <v>5</v>
      </c>
      <c r="O492">
        <v>3</v>
      </c>
      <c r="P492">
        <v>3</v>
      </c>
      <c r="Q492">
        <v>2</v>
      </c>
      <c r="S492">
        <v>13</v>
      </c>
      <c r="T492">
        <v>3</v>
      </c>
      <c r="U492">
        <v>1</v>
      </c>
      <c r="V492">
        <v>2</v>
      </c>
      <c r="AG492">
        <v>5</v>
      </c>
      <c r="AO492" t="s">
        <v>1426</v>
      </c>
      <c r="AQ492" t="s">
        <v>642</v>
      </c>
    </row>
    <row r="493" spans="1:43">
      <c r="A493">
        <v>860</v>
      </c>
      <c r="B493">
        <v>1</v>
      </c>
      <c r="C493" t="s">
        <v>464</v>
      </c>
      <c r="D493">
        <v>28</v>
      </c>
      <c r="J493">
        <v>1</v>
      </c>
      <c r="L493">
        <v>4</v>
      </c>
      <c r="N493">
        <v>1</v>
      </c>
      <c r="Q493">
        <v>24</v>
      </c>
      <c r="R493">
        <v>25</v>
      </c>
      <c r="Z493">
        <v>4</v>
      </c>
      <c r="AK493">
        <v>14</v>
      </c>
      <c r="AO493" t="s">
        <v>1418</v>
      </c>
      <c r="AQ493" t="s">
        <v>687</v>
      </c>
    </row>
    <row r="494" spans="1:43">
      <c r="A494">
        <v>861</v>
      </c>
      <c r="B494">
        <v>3</v>
      </c>
      <c r="C494" t="s">
        <v>465</v>
      </c>
      <c r="E494">
        <v>17</v>
      </c>
      <c r="L494">
        <v>1</v>
      </c>
      <c r="N494">
        <v>3</v>
      </c>
      <c r="P494">
        <v>3</v>
      </c>
      <c r="Q494">
        <v>4</v>
      </c>
      <c r="R494">
        <v>3</v>
      </c>
      <c r="AO494" t="s">
        <v>1429</v>
      </c>
      <c r="AQ494" t="s">
        <v>635</v>
      </c>
    </row>
    <row r="495" spans="1:43">
      <c r="A495">
        <v>862</v>
      </c>
      <c r="B495">
        <v>1</v>
      </c>
      <c r="C495" t="s">
        <v>466</v>
      </c>
      <c r="D495">
        <v>27</v>
      </c>
      <c r="G495">
        <v>5</v>
      </c>
      <c r="L495">
        <v>4</v>
      </c>
      <c r="N495">
        <v>1</v>
      </c>
      <c r="Q495">
        <v>26</v>
      </c>
      <c r="R495">
        <v>26</v>
      </c>
      <c r="Z495">
        <v>4</v>
      </c>
      <c r="AK495">
        <v>16</v>
      </c>
      <c r="AO495" t="s">
        <v>1429</v>
      </c>
      <c r="AQ495" t="s">
        <v>688</v>
      </c>
    </row>
    <row r="496" spans="1:43">
      <c r="A496">
        <v>863</v>
      </c>
      <c r="B496">
        <v>3</v>
      </c>
      <c r="C496" t="s">
        <v>467</v>
      </c>
      <c r="E496">
        <v>8</v>
      </c>
      <c r="L496">
        <v>1</v>
      </c>
      <c r="N496">
        <v>3</v>
      </c>
      <c r="P496">
        <v>2</v>
      </c>
      <c r="Q496">
        <v>2</v>
      </c>
      <c r="R496">
        <v>2</v>
      </c>
      <c r="AO496" t="s">
        <v>1425</v>
      </c>
      <c r="AQ496" t="s">
        <v>635</v>
      </c>
    </row>
    <row r="497" spans="1:43">
      <c r="A497">
        <v>864</v>
      </c>
      <c r="B497">
        <v>18</v>
      </c>
      <c r="C497" t="s">
        <v>468</v>
      </c>
      <c r="K497">
        <v>-1</v>
      </c>
      <c r="M497">
        <v>3</v>
      </c>
      <c r="N497">
        <v>18</v>
      </c>
      <c r="O497">
        <v>3</v>
      </c>
      <c r="P497">
        <v>1</v>
      </c>
      <c r="AO497" t="s">
        <v>1427</v>
      </c>
      <c r="AQ497" t="s">
        <v>582</v>
      </c>
    </row>
    <row r="498" spans="1:43">
      <c r="A498">
        <v>865</v>
      </c>
      <c r="B498">
        <v>3</v>
      </c>
      <c r="C498" t="s">
        <v>469</v>
      </c>
      <c r="E498">
        <v>12</v>
      </c>
      <c r="J498">
        <v>6</v>
      </c>
      <c r="K498">
        <v>3</v>
      </c>
      <c r="L498">
        <v>1</v>
      </c>
      <c r="N498">
        <v>3</v>
      </c>
      <c r="P498">
        <v>2</v>
      </c>
      <c r="Q498">
        <v>2</v>
      </c>
      <c r="R498">
        <v>4</v>
      </c>
      <c r="AJ498">
        <v>1</v>
      </c>
      <c r="AO498" t="s">
        <v>1420</v>
      </c>
      <c r="AQ498" t="s">
        <v>595</v>
      </c>
    </row>
    <row r="499" spans="1:43">
      <c r="A499">
        <v>866</v>
      </c>
      <c r="B499">
        <v>6</v>
      </c>
      <c r="C499" t="s">
        <v>470</v>
      </c>
      <c r="F499">
        <v>19</v>
      </c>
      <c r="H499">
        <v>5</v>
      </c>
      <c r="J499">
        <v>-3</v>
      </c>
      <c r="N499">
        <v>6</v>
      </c>
      <c r="P499">
        <v>11</v>
      </c>
      <c r="Q499">
        <v>8</v>
      </c>
      <c r="R499">
        <v>4</v>
      </c>
      <c r="S499">
        <v>30</v>
      </c>
      <c r="T499">
        <v>1</v>
      </c>
      <c r="AD499">
        <v>4</v>
      </c>
      <c r="AG499">
        <v>18</v>
      </c>
      <c r="AO499" t="s">
        <v>1418</v>
      </c>
      <c r="AQ499" t="s">
        <v>682</v>
      </c>
    </row>
    <row r="500" spans="1:43">
      <c r="A500">
        <v>867</v>
      </c>
      <c r="B500">
        <v>6</v>
      </c>
      <c r="C500" t="s">
        <v>471</v>
      </c>
      <c r="F500">
        <v>16</v>
      </c>
      <c r="G500">
        <v>4</v>
      </c>
      <c r="H500">
        <v>3</v>
      </c>
      <c r="I500">
        <v>3</v>
      </c>
      <c r="N500">
        <v>6</v>
      </c>
      <c r="P500">
        <v>7</v>
      </c>
      <c r="Q500">
        <v>5</v>
      </c>
      <c r="R500">
        <v>3</v>
      </c>
      <c r="S500">
        <v>16</v>
      </c>
      <c r="T500">
        <v>3</v>
      </c>
      <c r="AD500">
        <v>4</v>
      </c>
      <c r="AG500">
        <v>15</v>
      </c>
      <c r="AO500" t="s">
        <v>1419</v>
      </c>
      <c r="AQ500" t="s">
        <v>642</v>
      </c>
    </row>
    <row r="501" spans="1:43">
      <c r="A501">
        <v>868</v>
      </c>
      <c r="B501">
        <v>15</v>
      </c>
      <c r="C501" t="s">
        <v>472</v>
      </c>
      <c r="H501">
        <v>12</v>
      </c>
      <c r="J501">
        <v>3</v>
      </c>
      <c r="N501">
        <v>15</v>
      </c>
      <c r="R501">
        <v>2</v>
      </c>
      <c r="S501">
        <v>4</v>
      </c>
      <c r="AQ501" t="s">
        <v>638</v>
      </c>
    </row>
    <row r="502" spans="1:43">
      <c r="A502">
        <v>869</v>
      </c>
      <c r="B502">
        <v>7</v>
      </c>
      <c r="C502" t="s">
        <v>473</v>
      </c>
      <c r="E502">
        <v>14</v>
      </c>
      <c r="F502">
        <v>16</v>
      </c>
      <c r="G502">
        <v>3</v>
      </c>
      <c r="H502">
        <v>3</v>
      </c>
      <c r="I502">
        <v>3</v>
      </c>
      <c r="J502">
        <v>1</v>
      </c>
      <c r="K502">
        <v>1</v>
      </c>
      <c r="L502">
        <v>3</v>
      </c>
      <c r="N502">
        <v>7</v>
      </c>
      <c r="P502">
        <v>9</v>
      </c>
      <c r="Q502">
        <v>7</v>
      </c>
      <c r="R502">
        <v>15</v>
      </c>
      <c r="S502">
        <v>19</v>
      </c>
      <c r="T502">
        <v>3</v>
      </c>
      <c r="AG502">
        <v>14</v>
      </c>
      <c r="AH502">
        <v>28</v>
      </c>
      <c r="AO502" t="s">
        <v>1429</v>
      </c>
      <c r="AQ502" t="s">
        <v>642</v>
      </c>
    </row>
    <row r="503" spans="1:43">
      <c r="A503">
        <v>870</v>
      </c>
      <c r="B503">
        <v>7</v>
      </c>
      <c r="C503" t="s">
        <v>474</v>
      </c>
      <c r="E503">
        <v>6</v>
      </c>
      <c r="G503">
        <v>1</v>
      </c>
      <c r="H503">
        <v>9</v>
      </c>
      <c r="I503">
        <v>2</v>
      </c>
      <c r="N503">
        <v>7</v>
      </c>
      <c r="P503">
        <v>2</v>
      </c>
      <c r="Q503">
        <v>6</v>
      </c>
      <c r="S503">
        <v>10</v>
      </c>
      <c r="T503">
        <v>1</v>
      </c>
      <c r="AG503">
        <v>7</v>
      </c>
      <c r="AO503" t="s">
        <v>1418</v>
      </c>
      <c r="AQ503" t="s">
        <v>572</v>
      </c>
    </row>
    <row r="504" spans="1:43">
      <c r="A504">
        <v>871</v>
      </c>
      <c r="B504">
        <v>3</v>
      </c>
      <c r="C504" t="s">
        <v>475</v>
      </c>
      <c r="E504">
        <v>15</v>
      </c>
      <c r="J504">
        <v>3</v>
      </c>
      <c r="L504">
        <v>1</v>
      </c>
      <c r="N504">
        <v>3</v>
      </c>
      <c r="P504">
        <v>3</v>
      </c>
      <c r="Q504">
        <v>3</v>
      </c>
      <c r="R504">
        <v>4</v>
      </c>
      <c r="AJ504">
        <v>1</v>
      </c>
      <c r="AO504" t="s">
        <v>1418</v>
      </c>
      <c r="AQ504" t="s">
        <v>595</v>
      </c>
    </row>
    <row r="505" spans="1:43">
      <c r="A505">
        <v>872</v>
      </c>
      <c r="B505">
        <v>6</v>
      </c>
      <c r="C505" t="s">
        <v>476</v>
      </c>
      <c r="F505">
        <v>12</v>
      </c>
      <c r="G505">
        <v>7</v>
      </c>
      <c r="H505">
        <v>1</v>
      </c>
      <c r="N505">
        <v>6</v>
      </c>
      <c r="P505">
        <v>5</v>
      </c>
      <c r="Q505">
        <v>5</v>
      </c>
      <c r="S505">
        <v>19</v>
      </c>
      <c r="T505">
        <v>1</v>
      </c>
      <c r="AD505">
        <v>5</v>
      </c>
      <c r="AG505">
        <v>12</v>
      </c>
      <c r="AO505" t="s">
        <v>1423</v>
      </c>
      <c r="AQ505" t="s">
        <v>682</v>
      </c>
    </row>
    <row r="506" spans="1:43">
      <c r="A506">
        <v>873</v>
      </c>
      <c r="B506">
        <v>1</v>
      </c>
      <c r="C506" t="s">
        <v>477</v>
      </c>
      <c r="D506">
        <v>3</v>
      </c>
      <c r="G506">
        <v>6</v>
      </c>
      <c r="J506">
        <v>1</v>
      </c>
      <c r="L506">
        <v>2</v>
      </c>
      <c r="N506">
        <v>1</v>
      </c>
      <c r="Q506">
        <v>1</v>
      </c>
      <c r="R506">
        <v>2</v>
      </c>
      <c r="Z506">
        <v>2</v>
      </c>
      <c r="AA506">
        <v>4</v>
      </c>
      <c r="AB506">
        <v>35</v>
      </c>
      <c r="AK506">
        <v>1</v>
      </c>
      <c r="AO506" t="s">
        <v>1429</v>
      </c>
      <c r="AQ506" t="s">
        <v>686</v>
      </c>
    </row>
    <row r="507" spans="1:43">
      <c r="A507">
        <v>874</v>
      </c>
      <c r="B507">
        <v>1</v>
      </c>
      <c r="C507" t="s">
        <v>478</v>
      </c>
      <c r="D507">
        <v>9</v>
      </c>
      <c r="J507">
        <v>2</v>
      </c>
      <c r="L507">
        <v>3</v>
      </c>
      <c r="N507">
        <v>1</v>
      </c>
      <c r="Q507">
        <v>8</v>
      </c>
      <c r="R507">
        <v>11</v>
      </c>
      <c r="Z507">
        <v>4</v>
      </c>
      <c r="AK507">
        <v>9</v>
      </c>
      <c r="AO507" t="s">
        <v>1431</v>
      </c>
      <c r="AQ507" t="s">
        <v>689</v>
      </c>
    </row>
    <row r="508" spans="1:43">
      <c r="A508">
        <v>875</v>
      </c>
      <c r="B508">
        <v>6</v>
      </c>
      <c r="C508" t="s">
        <v>479</v>
      </c>
      <c r="F508">
        <v>7</v>
      </c>
      <c r="G508">
        <v>1</v>
      </c>
      <c r="H508">
        <v>3</v>
      </c>
      <c r="I508">
        <v>3</v>
      </c>
      <c r="N508">
        <v>6</v>
      </c>
      <c r="P508">
        <v>3</v>
      </c>
      <c r="Q508">
        <v>4</v>
      </c>
      <c r="S508">
        <v>9</v>
      </c>
      <c r="T508">
        <v>2</v>
      </c>
      <c r="AG508">
        <v>7</v>
      </c>
      <c r="AO508" t="s">
        <v>1431</v>
      </c>
      <c r="AQ508" t="s">
        <v>576</v>
      </c>
    </row>
    <row r="509" spans="1:43">
      <c r="A509">
        <v>876</v>
      </c>
      <c r="B509">
        <v>1</v>
      </c>
      <c r="C509" t="s">
        <v>480</v>
      </c>
      <c r="D509">
        <v>12</v>
      </c>
      <c r="J509">
        <v>4</v>
      </c>
      <c r="L509">
        <v>3</v>
      </c>
      <c r="N509">
        <v>1</v>
      </c>
      <c r="Q509">
        <v>5</v>
      </c>
      <c r="R509">
        <v>7</v>
      </c>
      <c r="S509">
        <v>2</v>
      </c>
      <c r="Z509">
        <v>3</v>
      </c>
      <c r="AK509">
        <v>8</v>
      </c>
      <c r="AO509" t="s">
        <v>1418</v>
      </c>
      <c r="AQ509" t="s">
        <v>631</v>
      </c>
    </row>
    <row r="510" spans="1:43">
      <c r="A510">
        <v>877</v>
      </c>
      <c r="B510">
        <v>18</v>
      </c>
      <c r="C510" t="s">
        <v>481</v>
      </c>
      <c r="J510">
        <v>-6</v>
      </c>
      <c r="K510">
        <v>20</v>
      </c>
      <c r="N510">
        <v>18</v>
      </c>
      <c r="P510">
        <v>1</v>
      </c>
      <c r="Q510">
        <v>1</v>
      </c>
      <c r="R510">
        <v>1</v>
      </c>
      <c r="S510">
        <v>1</v>
      </c>
      <c r="AP510" t="s">
        <v>671</v>
      </c>
      <c r="AQ510" t="s">
        <v>582</v>
      </c>
    </row>
    <row r="511" spans="1:43">
      <c r="A511">
        <v>878</v>
      </c>
      <c r="B511">
        <v>18</v>
      </c>
      <c r="C511" t="s">
        <v>482</v>
      </c>
      <c r="F511">
        <v>5</v>
      </c>
      <c r="L511">
        <v>2</v>
      </c>
      <c r="N511">
        <v>18</v>
      </c>
      <c r="Q511">
        <v>9</v>
      </c>
      <c r="R511">
        <v>4</v>
      </c>
      <c r="Y511">
        <v>10</v>
      </c>
      <c r="AF511">
        <v>2</v>
      </c>
      <c r="AL511">
        <v>5</v>
      </c>
      <c r="AO511" t="s">
        <v>1418</v>
      </c>
      <c r="AQ511" t="s">
        <v>574</v>
      </c>
    </row>
    <row r="512" spans="1:43">
      <c r="A512">
        <v>879</v>
      </c>
      <c r="B512">
        <v>6</v>
      </c>
      <c r="C512" t="s">
        <v>483</v>
      </c>
      <c r="F512">
        <v>10</v>
      </c>
      <c r="G512">
        <v>2</v>
      </c>
      <c r="I512">
        <v>3</v>
      </c>
      <c r="N512">
        <v>6</v>
      </c>
      <c r="P512">
        <v>4</v>
      </c>
      <c r="Q512">
        <v>5</v>
      </c>
      <c r="S512">
        <v>12</v>
      </c>
      <c r="T512">
        <v>2</v>
      </c>
      <c r="AD512">
        <v>4</v>
      </c>
      <c r="AG512">
        <v>9</v>
      </c>
      <c r="AO512" t="s">
        <v>1420</v>
      </c>
      <c r="AQ512" t="s">
        <v>576</v>
      </c>
    </row>
    <row r="513" spans="1:43">
      <c r="A513">
        <v>880</v>
      </c>
      <c r="B513">
        <v>5</v>
      </c>
      <c r="C513" t="s">
        <v>484</v>
      </c>
      <c r="D513">
        <v>2</v>
      </c>
      <c r="G513">
        <v>15</v>
      </c>
      <c r="J513">
        <v>1</v>
      </c>
      <c r="K513">
        <v>1</v>
      </c>
      <c r="N513">
        <v>5</v>
      </c>
      <c r="P513">
        <v>6</v>
      </c>
      <c r="Q513">
        <v>6</v>
      </c>
      <c r="R513">
        <v>13</v>
      </c>
      <c r="S513">
        <v>17</v>
      </c>
      <c r="T513">
        <v>1</v>
      </c>
      <c r="AG513">
        <v>16</v>
      </c>
      <c r="AH513">
        <v>32</v>
      </c>
      <c r="AO513" t="s">
        <v>1418</v>
      </c>
      <c r="AQ513" t="s">
        <v>682</v>
      </c>
    </row>
    <row r="514" spans="1:43">
      <c r="A514">
        <v>881</v>
      </c>
      <c r="B514">
        <v>1</v>
      </c>
      <c r="C514" t="s">
        <v>485</v>
      </c>
      <c r="D514">
        <v>19</v>
      </c>
      <c r="J514">
        <v>3</v>
      </c>
      <c r="L514">
        <v>3</v>
      </c>
      <c r="N514">
        <v>1</v>
      </c>
      <c r="Q514">
        <v>13</v>
      </c>
      <c r="R514">
        <v>19</v>
      </c>
      <c r="Z514">
        <v>4</v>
      </c>
      <c r="AK514">
        <v>10</v>
      </c>
      <c r="AO514" t="s">
        <v>1418</v>
      </c>
      <c r="AQ514" t="s">
        <v>634</v>
      </c>
    </row>
    <row r="515" spans="1:43">
      <c r="A515">
        <v>882</v>
      </c>
      <c r="B515">
        <v>1</v>
      </c>
      <c r="C515" t="s">
        <v>486</v>
      </c>
      <c r="D515">
        <v>4</v>
      </c>
      <c r="G515">
        <v>9</v>
      </c>
      <c r="J515">
        <v>2</v>
      </c>
      <c r="K515">
        <v>1</v>
      </c>
      <c r="L515">
        <v>1</v>
      </c>
      <c r="N515">
        <v>1</v>
      </c>
      <c r="Q515">
        <v>3</v>
      </c>
      <c r="R515">
        <v>4</v>
      </c>
      <c r="S515">
        <v>2</v>
      </c>
      <c r="Z515">
        <v>1</v>
      </c>
      <c r="AA515">
        <v>4</v>
      </c>
      <c r="AB515">
        <v>35</v>
      </c>
      <c r="AC515">
        <v>1</v>
      </c>
      <c r="AK515">
        <v>1</v>
      </c>
      <c r="AO515" t="s">
        <v>1419</v>
      </c>
      <c r="AQ515" t="s">
        <v>628</v>
      </c>
    </row>
    <row r="516" spans="1:43">
      <c r="A516">
        <v>883</v>
      </c>
      <c r="B516">
        <v>18</v>
      </c>
      <c r="C516" t="s">
        <v>487</v>
      </c>
      <c r="K516">
        <v>-1</v>
      </c>
      <c r="M516">
        <v>-1</v>
      </c>
      <c r="N516">
        <v>18</v>
      </c>
      <c r="O516">
        <v>-1</v>
      </c>
      <c r="P516">
        <v>1</v>
      </c>
      <c r="Q516">
        <v>1</v>
      </c>
      <c r="R516">
        <v>2</v>
      </c>
      <c r="S516">
        <v>1</v>
      </c>
      <c r="AP516" t="s">
        <v>672</v>
      </c>
      <c r="AQ516" t="s">
        <v>582</v>
      </c>
    </row>
    <row r="517" spans="1:43">
      <c r="A517">
        <v>884</v>
      </c>
      <c r="B517">
        <v>1</v>
      </c>
      <c r="C517" t="s">
        <v>488</v>
      </c>
      <c r="D517">
        <v>24</v>
      </c>
      <c r="G517">
        <v>1</v>
      </c>
      <c r="J517">
        <v>1</v>
      </c>
      <c r="L517">
        <v>4</v>
      </c>
      <c r="N517">
        <v>1</v>
      </c>
      <c r="Q517">
        <v>17</v>
      </c>
      <c r="R517">
        <v>20</v>
      </c>
      <c r="Z517">
        <v>4</v>
      </c>
      <c r="AK517">
        <v>13</v>
      </c>
      <c r="AO517" t="s">
        <v>1426</v>
      </c>
      <c r="AQ517" t="s">
        <v>634</v>
      </c>
    </row>
    <row r="518" spans="1:43">
      <c r="A518">
        <v>885</v>
      </c>
      <c r="B518">
        <v>10</v>
      </c>
      <c r="C518" t="s">
        <v>489</v>
      </c>
      <c r="D518">
        <v>3</v>
      </c>
      <c r="I518">
        <v>6</v>
      </c>
      <c r="J518">
        <v>11</v>
      </c>
      <c r="N518">
        <v>10</v>
      </c>
      <c r="R518">
        <v>25</v>
      </c>
      <c r="S518">
        <v>35</v>
      </c>
      <c r="AO518" t="s">
        <v>1425</v>
      </c>
      <c r="AQ518" t="s">
        <v>578</v>
      </c>
    </row>
    <row r="519" spans="1:43">
      <c r="A519">
        <v>886</v>
      </c>
      <c r="B519">
        <v>18</v>
      </c>
      <c r="C519" t="s">
        <v>490</v>
      </c>
      <c r="J519">
        <v>8</v>
      </c>
      <c r="L519">
        <v>2</v>
      </c>
      <c r="N519">
        <v>18</v>
      </c>
      <c r="P519">
        <v>5</v>
      </c>
      <c r="Q519">
        <v>4</v>
      </c>
      <c r="S519">
        <v>10</v>
      </c>
      <c r="AI519">
        <v>5</v>
      </c>
      <c r="AL519">
        <v>5</v>
      </c>
      <c r="AO519" t="s">
        <v>1426</v>
      </c>
      <c r="AQ519" t="s">
        <v>574</v>
      </c>
    </row>
    <row r="520" spans="1:43">
      <c r="A520">
        <v>887</v>
      </c>
      <c r="B520">
        <v>7</v>
      </c>
      <c r="C520" t="s">
        <v>491</v>
      </c>
      <c r="E520">
        <v>15</v>
      </c>
      <c r="G520">
        <v>1</v>
      </c>
      <c r="H520">
        <v>3</v>
      </c>
      <c r="I520">
        <v>2</v>
      </c>
      <c r="J520">
        <v>2</v>
      </c>
      <c r="N520">
        <v>7</v>
      </c>
      <c r="P520">
        <v>3</v>
      </c>
      <c r="Q520">
        <v>6</v>
      </c>
      <c r="S520">
        <v>10</v>
      </c>
      <c r="T520">
        <v>1</v>
      </c>
      <c r="AG520">
        <v>12</v>
      </c>
      <c r="AO520" t="s">
        <v>1426</v>
      </c>
      <c r="AQ520" t="s">
        <v>682</v>
      </c>
    </row>
    <row r="521" spans="1:43">
      <c r="A521">
        <v>888</v>
      </c>
      <c r="B521">
        <v>6</v>
      </c>
      <c r="C521" t="s">
        <v>492</v>
      </c>
      <c r="F521">
        <v>14</v>
      </c>
      <c r="G521">
        <v>2</v>
      </c>
      <c r="H521">
        <v>3</v>
      </c>
      <c r="I521">
        <v>2</v>
      </c>
      <c r="N521">
        <v>6</v>
      </c>
      <c r="P521">
        <v>2</v>
      </c>
      <c r="Q521">
        <v>6</v>
      </c>
      <c r="S521">
        <v>10</v>
      </c>
      <c r="T521">
        <v>1</v>
      </c>
      <c r="AG521">
        <v>8</v>
      </c>
      <c r="AO521" t="s">
        <v>1432</v>
      </c>
      <c r="AQ521" t="s">
        <v>574</v>
      </c>
    </row>
    <row r="522" spans="1:43">
      <c r="A522">
        <v>889</v>
      </c>
      <c r="B522">
        <v>6</v>
      </c>
      <c r="C522" t="s">
        <v>493</v>
      </c>
      <c r="F522">
        <v>14</v>
      </c>
      <c r="G522">
        <v>2</v>
      </c>
      <c r="H522">
        <v>5</v>
      </c>
      <c r="I522">
        <v>3</v>
      </c>
      <c r="J522">
        <v>1</v>
      </c>
      <c r="N522">
        <v>6</v>
      </c>
      <c r="P522">
        <v>2</v>
      </c>
      <c r="Q522">
        <v>6</v>
      </c>
      <c r="S522">
        <v>10</v>
      </c>
      <c r="T522">
        <v>1</v>
      </c>
      <c r="AG522">
        <v>8</v>
      </c>
      <c r="AO522" t="s">
        <v>1432</v>
      </c>
      <c r="AQ522" t="s">
        <v>574</v>
      </c>
    </row>
    <row r="523" spans="1:43">
      <c r="A523">
        <v>890</v>
      </c>
      <c r="B523">
        <v>18</v>
      </c>
      <c r="C523" t="s">
        <v>494</v>
      </c>
      <c r="J523">
        <v>13</v>
      </c>
      <c r="N523">
        <v>18</v>
      </c>
      <c r="P523">
        <v>4</v>
      </c>
      <c r="Q523">
        <v>5</v>
      </c>
      <c r="S523">
        <v>6</v>
      </c>
      <c r="AI523">
        <v>3</v>
      </c>
      <c r="AL523">
        <v>5</v>
      </c>
      <c r="AO523" t="s">
        <v>1422</v>
      </c>
      <c r="AQ523" t="s">
        <v>574</v>
      </c>
    </row>
    <row r="524" spans="1:43">
      <c r="A524">
        <v>891</v>
      </c>
      <c r="B524">
        <v>4</v>
      </c>
      <c r="C524" t="s">
        <v>495</v>
      </c>
      <c r="D524">
        <v>2</v>
      </c>
      <c r="J524">
        <v>2</v>
      </c>
      <c r="N524">
        <v>4</v>
      </c>
      <c r="R524">
        <v>12</v>
      </c>
      <c r="S524">
        <v>10</v>
      </c>
      <c r="AL524">
        <v>7</v>
      </c>
      <c r="AO524" t="s">
        <v>1427</v>
      </c>
      <c r="AQ524" t="s">
        <v>678</v>
      </c>
    </row>
    <row r="525" spans="1:43">
      <c r="A525">
        <v>892</v>
      </c>
      <c r="B525">
        <v>4</v>
      </c>
      <c r="C525" t="s">
        <v>496</v>
      </c>
      <c r="D525">
        <v>16</v>
      </c>
      <c r="N525">
        <v>4</v>
      </c>
      <c r="P525">
        <v>15</v>
      </c>
      <c r="Q525">
        <v>10</v>
      </c>
      <c r="S525">
        <v>10</v>
      </c>
      <c r="X525">
        <v>10</v>
      </c>
      <c r="AG525">
        <v>10</v>
      </c>
      <c r="AL525">
        <v>6</v>
      </c>
      <c r="AO525" t="s">
        <v>1427</v>
      </c>
      <c r="AQ525" t="s">
        <v>678</v>
      </c>
    </row>
    <row r="526" spans="1:43">
      <c r="A526">
        <v>893</v>
      </c>
      <c r="B526">
        <v>4</v>
      </c>
      <c r="C526" t="s">
        <v>497</v>
      </c>
      <c r="J526">
        <v>3</v>
      </c>
      <c r="N526">
        <v>4</v>
      </c>
      <c r="R526">
        <v>10</v>
      </c>
      <c r="S526">
        <v>9</v>
      </c>
      <c r="AL526">
        <v>7</v>
      </c>
      <c r="AO526" t="s">
        <v>1418</v>
      </c>
      <c r="AQ526" t="s">
        <v>678</v>
      </c>
    </row>
    <row r="527" spans="1:43">
      <c r="A527">
        <v>894</v>
      </c>
      <c r="B527">
        <v>4</v>
      </c>
      <c r="C527" t="s">
        <v>498</v>
      </c>
      <c r="D527">
        <v>4</v>
      </c>
      <c r="G527">
        <v>10</v>
      </c>
      <c r="N527">
        <v>4</v>
      </c>
      <c r="P527">
        <v>10</v>
      </c>
      <c r="Q527">
        <v>7</v>
      </c>
      <c r="S527">
        <v>6</v>
      </c>
      <c r="AB527">
        <v>20</v>
      </c>
      <c r="AG527">
        <v>4</v>
      </c>
      <c r="AL527">
        <v>6</v>
      </c>
      <c r="AO527" t="s">
        <v>1418</v>
      </c>
      <c r="AQ527" t="s">
        <v>678</v>
      </c>
    </row>
    <row r="528" spans="1:43">
      <c r="A528">
        <v>895</v>
      </c>
      <c r="B528">
        <v>5</v>
      </c>
      <c r="C528" t="s">
        <v>499</v>
      </c>
      <c r="G528">
        <v>6</v>
      </c>
      <c r="N528">
        <v>5</v>
      </c>
      <c r="P528">
        <v>1</v>
      </c>
      <c r="Q528">
        <v>2</v>
      </c>
      <c r="S528">
        <v>3</v>
      </c>
      <c r="T528">
        <v>1</v>
      </c>
      <c r="AG528">
        <v>5</v>
      </c>
      <c r="AO528" t="s">
        <v>1425</v>
      </c>
      <c r="AQ528" t="s">
        <v>573</v>
      </c>
    </row>
    <row r="529" spans="1:43">
      <c r="A529">
        <v>896</v>
      </c>
      <c r="B529">
        <v>7</v>
      </c>
      <c r="C529" t="s">
        <v>500</v>
      </c>
      <c r="E529">
        <v>7</v>
      </c>
      <c r="G529">
        <v>2</v>
      </c>
      <c r="H529">
        <v>2</v>
      </c>
      <c r="N529">
        <v>7</v>
      </c>
      <c r="P529">
        <v>1</v>
      </c>
      <c r="Q529">
        <v>3</v>
      </c>
      <c r="S529">
        <v>2</v>
      </c>
      <c r="T529">
        <v>1</v>
      </c>
      <c r="AD529">
        <v>4</v>
      </c>
      <c r="AG529">
        <v>5</v>
      </c>
      <c r="AO529" t="s">
        <v>1425</v>
      </c>
      <c r="AQ529" t="s">
        <v>572</v>
      </c>
    </row>
    <row r="530" spans="1:43">
      <c r="A530">
        <v>897</v>
      </c>
      <c r="B530">
        <v>6</v>
      </c>
      <c r="C530" t="s">
        <v>501</v>
      </c>
      <c r="F530">
        <v>6</v>
      </c>
      <c r="G530">
        <v>1</v>
      </c>
      <c r="H530">
        <v>1</v>
      </c>
      <c r="N530">
        <v>6</v>
      </c>
      <c r="P530">
        <v>1</v>
      </c>
      <c r="Q530">
        <v>2</v>
      </c>
      <c r="S530">
        <v>2</v>
      </c>
      <c r="T530">
        <v>1</v>
      </c>
      <c r="AG530">
        <v>5</v>
      </c>
      <c r="AO530" t="s">
        <v>1425</v>
      </c>
      <c r="AQ530" t="s">
        <v>574</v>
      </c>
    </row>
    <row r="531" spans="1:43">
      <c r="A531">
        <v>898</v>
      </c>
      <c r="B531">
        <v>5</v>
      </c>
      <c r="C531" t="s">
        <v>502</v>
      </c>
      <c r="G531">
        <v>11</v>
      </c>
      <c r="K531">
        <v>2</v>
      </c>
      <c r="N531">
        <v>5</v>
      </c>
      <c r="P531">
        <v>6</v>
      </c>
      <c r="Q531">
        <v>4</v>
      </c>
      <c r="R531">
        <v>9</v>
      </c>
      <c r="S531">
        <v>11</v>
      </c>
      <c r="T531">
        <v>3</v>
      </c>
      <c r="U531">
        <v>1</v>
      </c>
      <c r="V531">
        <v>2</v>
      </c>
      <c r="AG531">
        <v>10</v>
      </c>
      <c r="AH531">
        <v>20</v>
      </c>
      <c r="AO531" t="s">
        <v>1429</v>
      </c>
      <c r="AQ531" t="s">
        <v>642</v>
      </c>
    </row>
    <row r="532" spans="1:43">
      <c r="A532">
        <v>899</v>
      </c>
      <c r="B532">
        <v>1</v>
      </c>
      <c r="C532" t="s">
        <v>503</v>
      </c>
      <c r="D532">
        <v>11</v>
      </c>
      <c r="G532">
        <v>1</v>
      </c>
      <c r="J532">
        <v>2</v>
      </c>
      <c r="L532">
        <v>3</v>
      </c>
      <c r="N532">
        <v>1</v>
      </c>
      <c r="Q532">
        <v>6</v>
      </c>
      <c r="R532">
        <v>7</v>
      </c>
      <c r="Z532">
        <v>3</v>
      </c>
      <c r="AK532">
        <v>8</v>
      </c>
      <c r="AO532" t="s">
        <v>1420</v>
      </c>
      <c r="AQ532" t="s">
        <v>631</v>
      </c>
    </row>
    <row r="533" spans="1:43">
      <c r="A533">
        <v>900</v>
      </c>
      <c r="B533">
        <v>7</v>
      </c>
      <c r="C533" t="s">
        <v>504</v>
      </c>
      <c r="E533">
        <v>10</v>
      </c>
      <c r="G533">
        <v>6</v>
      </c>
      <c r="H533">
        <v>5</v>
      </c>
      <c r="I533">
        <v>2</v>
      </c>
      <c r="N533">
        <v>7</v>
      </c>
      <c r="P533">
        <v>2</v>
      </c>
      <c r="Q533">
        <v>4</v>
      </c>
      <c r="S533">
        <v>7</v>
      </c>
      <c r="T533">
        <v>1</v>
      </c>
      <c r="AD533">
        <v>5</v>
      </c>
      <c r="AG533">
        <v>10</v>
      </c>
      <c r="AO533" t="s">
        <v>1423</v>
      </c>
      <c r="AQ533" t="s">
        <v>682</v>
      </c>
    </row>
    <row r="534" spans="1:43">
      <c r="A534">
        <v>901</v>
      </c>
      <c r="B534">
        <v>11</v>
      </c>
      <c r="C534" t="s">
        <v>505</v>
      </c>
      <c r="K534">
        <v>10</v>
      </c>
      <c r="N534">
        <v>11</v>
      </c>
      <c r="P534">
        <v>9</v>
      </c>
      <c r="R534">
        <v>19</v>
      </c>
      <c r="AN534">
        <v>5</v>
      </c>
      <c r="AO534" t="s">
        <v>1423</v>
      </c>
      <c r="AQ534" t="s">
        <v>579</v>
      </c>
    </row>
    <row r="535" spans="1:43">
      <c r="A535">
        <v>902</v>
      </c>
      <c r="B535">
        <v>1</v>
      </c>
      <c r="C535" t="s">
        <v>506</v>
      </c>
      <c r="D535">
        <v>3</v>
      </c>
      <c r="G535">
        <v>5</v>
      </c>
      <c r="J535">
        <v>1</v>
      </c>
      <c r="L535">
        <v>1</v>
      </c>
      <c r="N535">
        <v>1</v>
      </c>
      <c r="Q535">
        <v>2</v>
      </c>
      <c r="R535">
        <v>2</v>
      </c>
      <c r="Z535">
        <v>1</v>
      </c>
      <c r="AA535">
        <v>4</v>
      </c>
      <c r="AB535">
        <v>35</v>
      </c>
      <c r="AK535">
        <v>1</v>
      </c>
      <c r="AO535" t="s">
        <v>1420</v>
      </c>
      <c r="AQ535" t="s">
        <v>628</v>
      </c>
    </row>
    <row r="536" spans="1:43">
      <c r="A536">
        <v>903</v>
      </c>
      <c r="B536">
        <v>18</v>
      </c>
      <c r="C536" t="s">
        <v>507</v>
      </c>
      <c r="J536">
        <v>-1</v>
      </c>
      <c r="K536">
        <v>3</v>
      </c>
      <c r="N536">
        <v>18</v>
      </c>
      <c r="O536">
        <v>3</v>
      </c>
      <c r="P536">
        <v>2</v>
      </c>
      <c r="AP536" t="s">
        <v>673</v>
      </c>
      <c r="AQ536" t="s">
        <v>582</v>
      </c>
    </row>
    <row r="537" spans="1:43">
      <c r="A537">
        <v>904</v>
      </c>
      <c r="B537">
        <v>5</v>
      </c>
      <c r="C537" t="s">
        <v>508</v>
      </c>
      <c r="D537">
        <v>4</v>
      </c>
      <c r="G537">
        <v>9</v>
      </c>
      <c r="N537">
        <v>5</v>
      </c>
      <c r="P537">
        <v>3</v>
      </c>
      <c r="Q537">
        <v>2</v>
      </c>
      <c r="R537">
        <v>1</v>
      </c>
      <c r="S537">
        <v>14</v>
      </c>
      <c r="T537">
        <v>2</v>
      </c>
      <c r="AG537">
        <v>10</v>
      </c>
      <c r="AH537">
        <v>20</v>
      </c>
      <c r="AO537" t="s">
        <v>1423</v>
      </c>
      <c r="AQ537" t="s">
        <v>617</v>
      </c>
    </row>
    <row r="538" spans="1:43">
      <c r="A538">
        <v>905</v>
      </c>
      <c r="B538">
        <v>1</v>
      </c>
      <c r="C538" t="s">
        <v>509</v>
      </c>
      <c r="D538">
        <v>2</v>
      </c>
      <c r="G538">
        <v>1</v>
      </c>
      <c r="H538">
        <v>5</v>
      </c>
      <c r="L538">
        <v>1</v>
      </c>
      <c r="N538">
        <v>1</v>
      </c>
      <c r="Q538">
        <v>2</v>
      </c>
      <c r="R538">
        <v>3</v>
      </c>
      <c r="Z538">
        <v>2</v>
      </c>
      <c r="AA538">
        <v>4</v>
      </c>
      <c r="AB538">
        <v>35</v>
      </c>
      <c r="AK538">
        <v>1</v>
      </c>
      <c r="AO538" t="s">
        <v>1429</v>
      </c>
      <c r="AP538" t="s">
        <v>674</v>
      </c>
      <c r="AQ538" t="s">
        <v>582</v>
      </c>
    </row>
    <row r="539" spans="1:43">
      <c r="A539">
        <v>906</v>
      </c>
      <c r="B539">
        <v>17</v>
      </c>
      <c r="C539" t="s">
        <v>510</v>
      </c>
      <c r="M539">
        <v>6</v>
      </c>
      <c r="N539">
        <v>17</v>
      </c>
      <c r="R539">
        <v>18</v>
      </c>
      <c r="S539">
        <v>1</v>
      </c>
      <c r="AO539" t="s">
        <v>1432</v>
      </c>
      <c r="AQ539" t="s">
        <v>675</v>
      </c>
    </row>
    <row r="540" spans="1:43">
      <c r="A540">
        <v>907</v>
      </c>
      <c r="B540">
        <v>1</v>
      </c>
      <c r="C540" t="s">
        <v>511</v>
      </c>
      <c r="D540">
        <v>6</v>
      </c>
      <c r="G540">
        <v>5</v>
      </c>
      <c r="L540">
        <v>2</v>
      </c>
      <c r="N540">
        <v>1</v>
      </c>
      <c r="Q540">
        <v>3</v>
      </c>
      <c r="R540">
        <v>4</v>
      </c>
      <c r="S540">
        <v>2</v>
      </c>
      <c r="Z540">
        <v>2</v>
      </c>
      <c r="AA540">
        <v>4</v>
      </c>
      <c r="AB540">
        <v>35</v>
      </c>
      <c r="AK540">
        <v>4</v>
      </c>
      <c r="AO540" t="s">
        <v>1431</v>
      </c>
      <c r="AQ540" t="s">
        <v>631</v>
      </c>
    </row>
    <row r="541" spans="1:43">
      <c r="A541">
        <v>908</v>
      </c>
      <c r="B541">
        <v>7</v>
      </c>
      <c r="C541" t="s">
        <v>512</v>
      </c>
      <c r="E541">
        <v>6</v>
      </c>
      <c r="G541">
        <v>9</v>
      </c>
      <c r="K541">
        <v>3</v>
      </c>
      <c r="N541">
        <v>7</v>
      </c>
      <c r="P541">
        <v>2</v>
      </c>
      <c r="Q541">
        <v>3</v>
      </c>
      <c r="S541">
        <v>10</v>
      </c>
      <c r="T541">
        <v>1</v>
      </c>
      <c r="AD541">
        <v>5</v>
      </c>
      <c r="AG541">
        <v>6</v>
      </c>
      <c r="AO541" t="s">
        <v>1422</v>
      </c>
      <c r="AQ541" t="s">
        <v>572</v>
      </c>
    </row>
  </sheetData>
  <autoFilter ref="A2:AR541"/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7"/>
  <sheetViews>
    <sheetView zoomScale="85" zoomScaleNormal="85" workbookViewId="0">
      <selection activeCell="E9" sqref="E9"/>
    </sheetView>
  </sheetViews>
  <sheetFormatPr defaultRowHeight="12.75"/>
  <cols>
    <col min="1" max="4" width="9.140625" style="29"/>
    <col min="5" max="5" width="65.7109375" style="29" customWidth="1"/>
    <col min="6" max="15" width="9.140625" style="29"/>
    <col min="16" max="16" width="12.28515625" style="29" customWidth="1"/>
    <col min="17" max="16384" width="9.140625" style="29"/>
  </cols>
  <sheetData>
    <row r="1" spans="1:14">
      <c r="A1" s="29" t="s">
        <v>693</v>
      </c>
      <c r="B1" s="31">
        <v>839</v>
      </c>
      <c r="D1" s="30"/>
      <c r="N1" s="30"/>
    </row>
    <row r="2" spans="1:14">
      <c r="E2" s="29" t="str">
        <f>"@EQUIP_EXIST_"&amp;B1</f>
        <v>@EQUIP_EXIST_839</v>
      </c>
      <c r="F2" s="29" t="str">
        <f>"@EQUIP_ABLE_"&amp;B1&amp;"(SHIPID,RVALUE)"</f>
        <v>@EQUIP_ABLE_839(SHIPID,RVALUE)</v>
      </c>
    </row>
    <row r="3" spans="1:14">
      <c r="E3" s="29" t="s">
        <v>1368</v>
      </c>
      <c r="F3" s="29" t="s">
        <v>1329</v>
      </c>
    </row>
    <row r="4" spans="1:14" ht="14.25">
      <c r="E4" s="29" t="str">
        <f>"@EQUIP_NAME_"&amp;B1</f>
        <v>@EQUIP_NAME_839</v>
      </c>
      <c r="F4" s="29" t="s">
        <v>1327</v>
      </c>
    </row>
    <row r="5" spans="1:14" ht="14.25">
      <c r="E5" s="29" t="str">
        <f>" RESULTS ="&amp;D7</f>
        <v xml:space="preserve"> RESULTS =剑鱼 (810中队)</v>
      </c>
      <c r="F5" s="29" t="s">
        <v>1326</v>
      </c>
    </row>
    <row r="6" spans="1:14">
      <c r="E6" s="29" t="str">
        <f>"@EQUIP_DATA_"&amp;(B1)&amp;"(SHIPID,ARG,RVALUE)"&amp;"  ;"&amp;D7</f>
        <v>@EQUIP_DATA_839(SHIPID,ARG,RVALUE)  ;剑鱼 (810中队)</v>
      </c>
      <c r="F6" s="29" t="s">
        <v>1325</v>
      </c>
    </row>
    <row r="7" spans="1:14" ht="14.25">
      <c r="B7" s="29">
        <v>3</v>
      </c>
      <c r="D7" s="29" t="str">
        <f>VLOOKUP($B$1,Equip!A:AQ,B7,FALSE)</f>
        <v>剑鱼 (810中队)</v>
      </c>
      <c r="E7" s="29" t="s">
        <v>1330</v>
      </c>
      <c r="F7" s="29" t="str">
        <f>"RVALUE = 0"</f>
        <v>RVALUE = 0</v>
      </c>
    </row>
    <row r="8" spans="1:14">
      <c r="E8" s="29" t="s">
        <v>1328</v>
      </c>
      <c r="F8" s="29" t="str">
        <f>D9</f>
        <v>SIF BASE:SHIPID:舰种 == 9 || BASE:SHIPID:舰种 == 11 || BASE:SHIPID:舰种 == 12 || (SHIPID == 260 &amp;&amp; CFLAG:SHIPID:1910 &gt; 0) || TALENT:SHIPID:飞机场</v>
      </c>
    </row>
    <row r="9" spans="1:14" ht="14.25">
      <c r="B9" s="29">
        <v>43</v>
      </c>
      <c r="D9" s="29" t="str">
        <f>VLOOKUP($B$1,Equip!A:AQ,B9,FALSE)</f>
        <v>SIF BASE:SHIPID:舰种 == 9 || BASE:SHIPID:舰种 == 11 || BASE:SHIPID:舰种 == 12 || (SHIPID == 260 &amp;&amp; CFLAG:SHIPID:1910 &gt; 0) || TALENT:SHIPID:飞机场</v>
      </c>
      <c r="E9" s="29" t="s">
        <v>1326</v>
      </c>
      <c r="F9" s="29" t="s">
        <v>1370</v>
      </c>
    </row>
    <row r="10" spans="1:14">
      <c r="E10" s="29" t="str">
        <f>"RVALUE = 0"</f>
        <v>RVALUE = 0</v>
      </c>
      <c r="F10" s="29" t="s">
        <v>1369</v>
      </c>
    </row>
    <row r="11" spans="1:14">
      <c r="E11" s="29" t="s">
        <v>1324</v>
      </c>
    </row>
    <row r="12" spans="1:14" ht="14.25">
      <c r="E12" s="29" t="s">
        <v>1331</v>
      </c>
    </row>
    <row r="13" spans="1:14">
      <c r="B13" s="29">
        <v>4</v>
      </c>
      <c r="D13" s="29">
        <f>VLOOKUP($B$1,Equip!A:AQ,B13,FALSE)</f>
        <v>1</v>
      </c>
      <c r="E13" s="29" t="str">
        <f>"    RVALUE = "&amp;D13</f>
        <v xml:space="preserve">    RVALUE = 1</v>
      </c>
    </row>
    <row r="14" spans="1:14" ht="14.25">
      <c r="E14" s="29" t="s">
        <v>1332</v>
      </c>
    </row>
    <row r="15" spans="1:14">
      <c r="B15" s="29">
        <v>5</v>
      </c>
      <c r="D15" s="29">
        <f>VLOOKUP($B$1,Equip!A:AQ,B15,FALSE)</f>
        <v>10</v>
      </c>
      <c r="E15" s="29" t="str">
        <f>"    RVALUE = "&amp;D15</f>
        <v xml:space="preserve">    RVALUE = 10</v>
      </c>
    </row>
    <row r="16" spans="1:14" ht="14.25">
      <c r="E16" s="29" t="s">
        <v>1333</v>
      </c>
    </row>
    <row r="17" spans="2:5">
      <c r="B17" s="29">
        <v>6</v>
      </c>
      <c r="D17" s="29">
        <f>VLOOKUP($B$1,Equip!A:AQ,B17,FALSE)</f>
        <v>0</v>
      </c>
      <c r="E17" s="29" t="str">
        <f>"    RVALUE = "&amp;D17</f>
        <v xml:space="preserve">    RVALUE = 0</v>
      </c>
    </row>
    <row r="18" spans="2:5" ht="14.25">
      <c r="E18" s="29" t="s">
        <v>1334</v>
      </c>
    </row>
    <row r="19" spans="2:5">
      <c r="B19" s="29">
        <v>7</v>
      </c>
      <c r="D19" s="29">
        <f>VLOOKUP($B$1,Equip!A:AQ,B19,FALSE)</f>
        <v>0</v>
      </c>
      <c r="E19" s="29" t="str">
        <f>"    RVALUE = "&amp;D19</f>
        <v xml:space="preserve">    RVALUE = 0</v>
      </c>
    </row>
    <row r="20" spans="2:5" ht="14.25">
      <c r="E20" s="29" t="s">
        <v>1335</v>
      </c>
    </row>
    <row r="21" spans="2:5">
      <c r="B21" s="29">
        <v>8</v>
      </c>
      <c r="D21" s="29">
        <f>VLOOKUP($B$1,Equip!A:AQ,B21,FALSE)</f>
        <v>5</v>
      </c>
      <c r="E21" s="29" t="str">
        <f>"    RVALUE = "&amp;D21</f>
        <v xml:space="preserve">    RVALUE = 5</v>
      </c>
    </row>
    <row r="22" spans="2:5" ht="14.25">
      <c r="E22" s="29" t="s">
        <v>1336</v>
      </c>
    </row>
    <row r="23" spans="2:5">
      <c r="B23" s="29">
        <v>9</v>
      </c>
      <c r="D23" s="29">
        <f>VLOOKUP($B$1,Equip!A:AQ,B23,FALSE)</f>
        <v>2</v>
      </c>
      <c r="E23" s="29" t="str">
        <f>"    RVALUE = "&amp;D23</f>
        <v xml:space="preserve">    RVALUE = 2</v>
      </c>
    </row>
    <row r="24" spans="2:5" ht="14.25">
      <c r="E24" s="29" t="s">
        <v>1337</v>
      </c>
    </row>
    <row r="25" spans="2:5">
      <c r="B25" s="29">
        <v>10</v>
      </c>
      <c r="D25" s="29">
        <f>VLOOKUP($B$1,Equip!A:AQ,B25,FALSE)</f>
        <v>5</v>
      </c>
      <c r="E25" s="29" t="str">
        <f>"    RVALUE = "&amp;D25</f>
        <v xml:space="preserve">    RVALUE = 5</v>
      </c>
    </row>
    <row r="26" spans="2:5" ht="14.25">
      <c r="E26" s="29" t="s">
        <v>1338</v>
      </c>
    </row>
    <row r="27" spans="2:5">
      <c r="B27" s="29">
        <v>11</v>
      </c>
      <c r="D27" s="29">
        <f>VLOOKUP($B$1,Equip!A:AQ,B27,FALSE)</f>
        <v>0</v>
      </c>
      <c r="E27" s="29" t="str">
        <f>"    RVALUE = "&amp;D27</f>
        <v xml:space="preserve">    RVALUE = 0</v>
      </c>
    </row>
    <row r="28" spans="2:5" ht="14.25">
      <c r="E28" s="29" t="s">
        <v>1339</v>
      </c>
    </row>
    <row r="29" spans="2:5">
      <c r="B29" s="29">
        <v>12</v>
      </c>
      <c r="D29" s="29">
        <f>VLOOKUP($B$1,Equip!A:AQ,B29,FALSE)</f>
        <v>0</v>
      </c>
      <c r="E29" s="29" t="str">
        <f>"    RVALUE = "&amp;D29</f>
        <v xml:space="preserve">    RVALUE = 0</v>
      </c>
    </row>
    <row r="30" spans="2:5" ht="14.25">
      <c r="E30" s="29" t="s">
        <v>1340</v>
      </c>
    </row>
    <row r="31" spans="2:5">
      <c r="B31" s="29">
        <v>13</v>
      </c>
      <c r="D31" s="29">
        <f>VLOOKUP($B$1,Equip!A:AQ,B31,FALSE)</f>
        <v>0</v>
      </c>
      <c r="E31" s="29" t="str">
        <f>"    RVALUE = "&amp;D31</f>
        <v xml:space="preserve">    RVALUE = 0</v>
      </c>
    </row>
    <row r="32" spans="2:5" ht="14.25">
      <c r="E32" s="29" t="s">
        <v>1341</v>
      </c>
    </row>
    <row r="33" spans="2:5">
      <c r="B33" s="29">
        <v>14</v>
      </c>
      <c r="D33" s="29">
        <f>VLOOKUP($B$1,Equip!A:AQ,B33,FALSE)</f>
        <v>7</v>
      </c>
      <c r="E33" s="29" t="str">
        <f>"    RVALUE = "&amp;D33</f>
        <v xml:space="preserve">    RVALUE = 7</v>
      </c>
    </row>
    <row r="34" spans="2:5" ht="14.25">
      <c r="E34" s="29" t="s">
        <v>1342</v>
      </c>
    </row>
    <row r="35" spans="2:5">
      <c r="B35" s="29">
        <v>15</v>
      </c>
      <c r="D35" s="29">
        <f>VLOOKUP($B$1,Equip!A:AQ,B35,FALSE)</f>
        <v>0</v>
      </c>
      <c r="E35" s="29" t="str">
        <f>"    RVALUE = "&amp;D35</f>
        <v xml:space="preserve">    RVALUE = 0</v>
      </c>
    </row>
    <row r="36" spans="2:5" ht="14.25">
      <c r="E36" s="29" t="s">
        <v>1343</v>
      </c>
    </row>
    <row r="37" spans="2:5">
      <c r="B37" s="29">
        <v>16</v>
      </c>
      <c r="D37" s="29">
        <f>VLOOKUP($B$1,Equip!A:AQ,B37,FALSE)</f>
        <v>1</v>
      </c>
      <c r="E37" s="29" t="str">
        <f>"    RVALUE = "&amp;D37</f>
        <v xml:space="preserve">    RVALUE = 1</v>
      </c>
    </row>
    <row r="38" spans="2:5" ht="14.25">
      <c r="E38" s="29" t="s">
        <v>1344</v>
      </c>
    </row>
    <row r="39" spans="2:5">
      <c r="B39" s="29">
        <v>17</v>
      </c>
      <c r="D39" s="29">
        <f>VLOOKUP($B$1,Equip!A:AQ,B39,FALSE)</f>
        <v>3</v>
      </c>
      <c r="E39" s="29" t="str">
        <f>"    RVALUE = "&amp;D39</f>
        <v xml:space="preserve">    RVALUE = 3</v>
      </c>
    </row>
    <row r="40" spans="2:5" ht="14.25">
      <c r="E40" s="29" t="s">
        <v>1345</v>
      </c>
    </row>
    <row r="41" spans="2:5">
      <c r="B41" s="29">
        <v>18</v>
      </c>
      <c r="D41" s="29">
        <f>VLOOKUP($B$1,Equip!A:AQ,B41,FALSE)</f>
        <v>0</v>
      </c>
      <c r="E41" s="29" t="str">
        <f>"    RVALUE = "&amp;D41</f>
        <v xml:space="preserve">    RVALUE = 0</v>
      </c>
    </row>
    <row r="42" spans="2:5" ht="14.25">
      <c r="E42" s="29" t="s">
        <v>1346</v>
      </c>
    </row>
    <row r="43" spans="2:5">
      <c r="B43" s="29">
        <v>19</v>
      </c>
      <c r="D43" s="29">
        <f>VLOOKUP($B$1,Equip!A:AQ,B43,FALSE)</f>
        <v>2</v>
      </c>
      <c r="E43" s="29" t="str">
        <f>"    RVALUE = "&amp;D43</f>
        <v xml:space="preserve">    RVALUE = 2</v>
      </c>
    </row>
    <row r="44" spans="2:5" ht="14.25">
      <c r="E44" s="29" t="s">
        <v>1347</v>
      </c>
    </row>
    <row r="45" spans="2:5">
      <c r="B45" s="29">
        <v>20</v>
      </c>
      <c r="D45" s="29">
        <f>VLOOKUP($B$1,Equip!A:AQ,B45,FALSE)</f>
        <v>1</v>
      </c>
      <c r="E45" s="29" t="str">
        <f>"    RVALUE = "&amp;D45</f>
        <v xml:space="preserve">    RVALUE = 1</v>
      </c>
    </row>
    <row r="46" spans="2:5" ht="14.25">
      <c r="E46" s="29" t="s">
        <v>1348</v>
      </c>
    </row>
    <row r="47" spans="2:5">
      <c r="B47" s="29">
        <v>21</v>
      </c>
      <c r="D47" s="29">
        <f>VLOOKUP($B$1,Equip!A:AQ,B47,FALSE)</f>
        <v>0</v>
      </c>
      <c r="E47" s="29" t="str">
        <f>"    RVALUE = "&amp;D47</f>
        <v xml:space="preserve">    RVALUE = 0</v>
      </c>
    </row>
    <row r="48" spans="2:5" ht="14.25">
      <c r="E48" s="29" t="s">
        <v>1349</v>
      </c>
    </row>
    <row r="49" spans="2:5">
      <c r="B49" s="29">
        <v>22</v>
      </c>
      <c r="D49" s="29">
        <f>VLOOKUP($B$1,Equip!A:AQ,B49,FALSE)</f>
        <v>0</v>
      </c>
      <c r="E49" s="29" t="str">
        <f>"    RVALUE = "&amp;D49</f>
        <v xml:space="preserve">    RVALUE = 0</v>
      </c>
    </row>
    <row r="50" spans="2:5" ht="14.25">
      <c r="E50" s="29" t="s">
        <v>1350</v>
      </c>
    </row>
    <row r="51" spans="2:5">
      <c r="B51" s="29">
        <v>23</v>
      </c>
      <c r="D51" s="29">
        <f>VLOOKUP($B$1,Equip!A:AQ,B51,FALSE)</f>
        <v>0</v>
      </c>
      <c r="E51" s="29" t="str">
        <f>"    RVALUE = "&amp;D51</f>
        <v xml:space="preserve">    RVALUE = 0</v>
      </c>
    </row>
    <row r="52" spans="2:5" ht="14.25">
      <c r="E52" s="29" t="s">
        <v>1351</v>
      </c>
    </row>
    <row r="53" spans="2:5">
      <c r="B53" s="29">
        <v>24</v>
      </c>
      <c r="D53" s="29">
        <f>VLOOKUP($B$1,Equip!A:AQ,B53,FALSE)</f>
        <v>0</v>
      </c>
      <c r="E53" s="29" t="str">
        <f>"    RVALUE = "&amp;D53</f>
        <v xml:space="preserve">    RVALUE = 0</v>
      </c>
    </row>
    <row r="54" spans="2:5" ht="14.25">
      <c r="E54" s="29" t="s">
        <v>1352</v>
      </c>
    </row>
    <row r="55" spans="2:5">
      <c r="B55" s="29">
        <v>25</v>
      </c>
      <c r="D55" s="29">
        <f>VLOOKUP($B$1,Equip!A:AQ,B55,FALSE)</f>
        <v>0</v>
      </c>
      <c r="E55" s="29" t="str">
        <f>"    RVALUE = "&amp;D55</f>
        <v xml:space="preserve">    RVALUE = 0</v>
      </c>
    </row>
    <row r="56" spans="2:5" ht="14.25">
      <c r="E56" s="29" t="s">
        <v>1353</v>
      </c>
    </row>
    <row r="57" spans="2:5">
      <c r="B57" s="29">
        <v>26</v>
      </c>
      <c r="D57" s="29">
        <f>VLOOKUP($B$1,Equip!A:AQ,B57,FALSE)</f>
        <v>0</v>
      </c>
      <c r="E57" s="29" t="str">
        <f>"    RVALUE = "&amp;D57</f>
        <v xml:space="preserve">    RVALUE = 0</v>
      </c>
    </row>
    <row r="58" spans="2:5" ht="14.25">
      <c r="E58" s="29" t="s">
        <v>1354</v>
      </c>
    </row>
    <row r="59" spans="2:5">
      <c r="B59" s="29">
        <v>27</v>
      </c>
      <c r="D59" s="29">
        <f>VLOOKUP($B$1,Equip!A:AQ,B59,FALSE)</f>
        <v>0</v>
      </c>
      <c r="E59" s="29" t="str">
        <f>"    RVALUE = "&amp;D59</f>
        <v xml:space="preserve">    RVALUE = 0</v>
      </c>
    </row>
    <row r="60" spans="2:5" ht="14.25">
      <c r="E60" s="29" t="s">
        <v>1355</v>
      </c>
    </row>
    <row r="61" spans="2:5">
      <c r="B61" s="29">
        <v>28</v>
      </c>
      <c r="D61" s="29">
        <f>VLOOKUP($B$1,Equip!A:AQ,B61,FALSE)</f>
        <v>0</v>
      </c>
      <c r="E61" s="29" t="str">
        <f>"    RVALUE = "&amp;D61</f>
        <v xml:space="preserve">    RVALUE = 0</v>
      </c>
    </row>
    <row r="62" spans="2:5" ht="14.25">
      <c r="E62" s="29" t="s">
        <v>1356</v>
      </c>
    </row>
    <row r="63" spans="2:5">
      <c r="B63" s="29">
        <v>29</v>
      </c>
      <c r="D63" s="29">
        <f>VLOOKUP($B$1,Equip!A:AQ,B63,FALSE)</f>
        <v>0</v>
      </c>
      <c r="E63" s="29" t="str">
        <f>"    RVALUE = "&amp;D63</f>
        <v xml:space="preserve">    RVALUE = 0</v>
      </c>
    </row>
    <row r="64" spans="2:5" ht="14.25">
      <c r="E64" s="29" t="s">
        <v>1357</v>
      </c>
    </row>
    <row r="65" spans="2:5">
      <c r="B65" s="29">
        <v>30</v>
      </c>
      <c r="D65" s="29">
        <f>VLOOKUP($B$1,Equip!A:AQ,B65,FALSE)</f>
        <v>0</v>
      </c>
      <c r="E65" s="29" t="str">
        <f>"    RVALUE = "&amp;D65</f>
        <v xml:space="preserve">    RVALUE = 0</v>
      </c>
    </row>
    <row r="66" spans="2:5" ht="14.25">
      <c r="E66" s="29" t="s">
        <v>1358</v>
      </c>
    </row>
    <row r="67" spans="2:5">
      <c r="B67" s="29">
        <v>31</v>
      </c>
      <c r="D67" s="29">
        <f>VLOOKUP($B$1,Equip!A:AQ,B67,FALSE)</f>
        <v>0</v>
      </c>
      <c r="E67" s="29" t="str">
        <f>"    RVALUE = "&amp;D67</f>
        <v xml:space="preserve">    RVALUE = 0</v>
      </c>
    </row>
    <row r="68" spans="2:5" ht="14.25">
      <c r="E68" s="29" t="s">
        <v>1359</v>
      </c>
    </row>
    <row r="69" spans="2:5">
      <c r="B69" s="29">
        <v>32</v>
      </c>
      <c r="D69" s="29">
        <f>VLOOKUP($B$1,Equip!A:AQ,B69,FALSE)</f>
        <v>0</v>
      </c>
      <c r="E69" s="29" t="str">
        <f>"    RVALUE = "&amp;D69</f>
        <v xml:space="preserve">    RVALUE = 0</v>
      </c>
    </row>
    <row r="70" spans="2:5" ht="14.25">
      <c r="E70" s="29" t="s">
        <v>1360</v>
      </c>
    </row>
    <row r="71" spans="2:5">
      <c r="B71" s="29">
        <v>33</v>
      </c>
      <c r="D71" s="29">
        <f>VLOOKUP($B$1,Equip!A:AQ,B71,FALSE)</f>
        <v>4</v>
      </c>
      <c r="E71" s="29" t="str">
        <f>"    RVALUE = "&amp;D71</f>
        <v xml:space="preserve">    RVALUE = 4</v>
      </c>
    </row>
    <row r="72" spans="2:5" ht="14.25">
      <c r="E72" s="29" t="s">
        <v>1361</v>
      </c>
    </row>
    <row r="73" spans="2:5">
      <c r="B73" s="29">
        <v>34</v>
      </c>
      <c r="D73" s="29">
        <f>VLOOKUP($B$1,Equip!A:AQ,B73,FALSE)</f>
        <v>0</v>
      </c>
      <c r="E73" s="29" t="str">
        <f>"    RVALUE = "&amp;D73</f>
        <v xml:space="preserve">    RVALUE = 0</v>
      </c>
    </row>
    <row r="74" spans="2:5" ht="14.25">
      <c r="E74" s="29" t="s">
        <v>1362</v>
      </c>
    </row>
    <row r="75" spans="2:5">
      <c r="B75" s="29">
        <v>35</v>
      </c>
      <c r="D75" s="29">
        <f>VLOOKUP($B$1,Equip!A:AQ,B75,FALSE)</f>
        <v>0</v>
      </c>
      <c r="E75" s="29" t="str">
        <f>"    RVALUE = "&amp;D75</f>
        <v xml:space="preserve">    RVALUE = 0</v>
      </c>
    </row>
    <row r="76" spans="2:5" ht="14.25">
      <c r="E76" s="29" t="s">
        <v>1363</v>
      </c>
    </row>
    <row r="77" spans="2:5">
      <c r="B77" s="29">
        <v>36</v>
      </c>
      <c r="D77" s="29">
        <f>VLOOKUP($B$1,Equip!A:AQ,B77,FALSE)</f>
        <v>0</v>
      </c>
      <c r="E77" s="29" t="str">
        <f>"    RVALUE = "&amp;D77</f>
        <v xml:space="preserve">    RVALUE = 0</v>
      </c>
    </row>
    <row r="78" spans="2:5" ht="14.25">
      <c r="E78" s="29" t="s">
        <v>1364</v>
      </c>
    </row>
    <row r="79" spans="2:5">
      <c r="B79" s="29">
        <v>37</v>
      </c>
      <c r="D79" s="29">
        <f>VLOOKUP($B$1,Equip!A:AQ,B79,FALSE)</f>
        <v>0</v>
      </c>
      <c r="E79" s="29" t="str">
        <f>"    RVALUE = "&amp;D79</f>
        <v xml:space="preserve">    RVALUE = 0</v>
      </c>
    </row>
    <row r="80" spans="2:5" ht="14.25">
      <c r="E80" s="29" t="s">
        <v>1365</v>
      </c>
    </row>
    <row r="81" spans="2:5">
      <c r="B81" s="29">
        <v>38</v>
      </c>
      <c r="D81" s="29">
        <f>VLOOKUP($B$1,Equip!A:AQ,B81,FALSE)</f>
        <v>0</v>
      </c>
      <c r="E81" s="29" t="str">
        <f>"    RVALUE = "&amp;D81</f>
        <v xml:space="preserve">    RVALUE = 0</v>
      </c>
    </row>
    <row r="82" spans="2:5" ht="14.25">
      <c r="E82" s="29" t="s">
        <v>1366</v>
      </c>
    </row>
    <row r="83" spans="2:5">
      <c r="B83" s="29">
        <v>39</v>
      </c>
      <c r="D83" s="29">
        <f>VLOOKUP($B$1,Equip!A:AQ,B83,FALSE)</f>
        <v>0</v>
      </c>
      <c r="E83" s="29" t="str">
        <f>"    RVALUE = "&amp;D83</f>
        <v xml:space="preserve">    RVALUE = 0</v>
      </c>
    </row>
    <row r="84" spans="2:5" ht="14.25">
      <c r="E84" s="29" t="s">
        <v>1367</v>
      </c>
    </row>
    <row r="85" spans="2:5">
      <c r="B85" s="29">
        <v>40</v>
      </c>
      <c r="D85" s="29">
        <f>VLOOKUP($B$1,Equip!A:AQ,B85,FALSE)</f>
        <v>0</v>
      </c>
      <c r="E85" s="29" t="str">
        <f>"    RVALUE = "&amp;D85</f>
        <v xml:space="preserve">    RVALUE = 0</v>
      </c>
    </row>
    <row r="86" spans="2:5">
      <c r="E86" s="29" t="s">
        <v>1443</v>
      </c>
    </row>
    <row r="87" spans="2:5">
      <c r="E87" s="29" t="s">
        <v>1444</v>
      </c>
    </row>
  </sheetData>
  <phoneticPr fontId="2" type="noConversion"/>
  <pageMargins left="0.7" right="0.7" top="0.75" bottom="0.75" header="0.51180555555555496" footer="0.51180555555555496"/>
  <pageSetup paperSize="9" firstPageNumber="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C26"/>
  <sheetViews>
    <sheetView zoomScale="85" zoomScaleNormal="85" workbookViewId="0">
      <selection activeCell="L19" sqref="L19"/>
    </sheetView>
  </sheetViews>
  <sheetFormatPr defaultRowHeight="12.75"/>
  <cols>
    <col min="1" max="1" width="8" style="13" customWidth="1"/>
    <col min="2" max="2" width="8.5703125" style="13" customWidth="1"/>
    <col min="3" max="15" width="5" style="13" customWidth="1"/>
    <col min="16" max="16" width="9.140625" style="13"/>
    <col min="17" max="29" width="5.28515625" style="13" customWidth="1"/>
    <col min="30" max="16384" width="9.140625" style="13"/>
  </cols>
  <sheetData>
    <row r="2" spans="1:29" ht="14.25">
      <c r="A2" s="17" t="s">
        <v>1313</v>
      </c>
      <c r="C2" s="17" t="s">
        <v>1401</v>
      </c>
      <c r="P2" s="17" t="s">
        <v>1312</v>
      </c>
      <c r="Q2" s="17" t="s">
        <v>520</v>
      </c>
    </row>
    <row r="3" spans="1:29">
      <c r="A3" s="13">
        <v>1</v>
      </c>
      <c r="B3" s="13" t="s">
        <v>1311</v>
      </c>
      <c r="C3" s="13">
        <v>0</v>
      </c>
      <c r="D3" s="13">
        <v>0</v>
      </c>
      <c r="E3" s="13">
        <v>0</v>
      </c>
      <c r="F3" s="13">
        <v>0</v>
      </c>
      <c r="G3" s="13">
        <v>0</v>
      </c>
      <c r="H3" s="13">
        <v>0</v>
      </c>
      <c r="I3" s="13">
        <v>0</v>
      </c>
      <c r="J3" s="13">
        <v>0</v>
      </c>
      <c r="K3" s="13">
        <v>0</v>
      </c>
      <c r="L3" s="13">
        <v>0</v>
      </c>
      <c r="M3" s="13">
        <v>0</v>
      </c>
      <c r="N3" s="13">
        <v>0</v>
      </c>
      <c r="O3" s="13">
        <v>0</v>
      </c>
      <c r="P3" s="13">
        <v>1</v>
      </c>
      <c r="Q3" s="13">
        <v>0</v>
      </c>
      <c r="R3" s="13">
        <v>0</v>
      </c>
      <c r="S3" s="13">
        <v>0</v>
      </c>
      <c r="T3" s="13">
        <v>0</v>
      </c>
      <c r="U3" s="13">
        <v>0</v>
      </c>
      <c r="V3" s="13">
        <v>0</v>
      </c>
      <c r="W3" s="13">
        <v>0</v>
      </c>
      <c r="X3" s="13">
        <v>0</v>
      </c>
      <c r="Y3" s="13">
        <v>0</v>
      </c>
      <c r="Z3" s="13">
        <v>0</v>
      </c>
      <c r="AA3" s="13">
        <v>0</v>
      </c>
      <c r="AB3" s="13">
        <v>0</v>
      </c>
      <c r="AC3" s="13">
        <v>0</v>
      </c>
    </row>
    <row r="4" spans="1:29">
      <c r="A4" s="13">
        <v>2</v>
      </c>
      <c r="B4" s="15" t="s">
        <v>1310</v>
      </c>
      <c r="C4" s="13">
        <v>0</v>
      </c>
      <c r="D4" s="16">
        <v>4</v>
      </c>
      <c r="E4" s="16">
        <v>3</v>
      </c>
      <c r="F4" s="13">
        <v>0</v>
      </c>
      <c r="G4" s="13">
        <v>0</v>
      </c>
      <c r="H4" s="13">
        <v>0</v>
      </c>
      <c r="I4" s="13">
        <v>0</v>
      </c>
      <c r="J4" s="13">
        <v>0</v>
      </c>
      <c r="K4" s="13">
        <v>0</v>
      </c>
      <c r="L4" s="13">
        <v>0</v>
      </c>
      <c r="M4" s="13">
        <v>0</v>
      </c>
      <c r="N4" s="13">
        <v>0</v>
      </c>
      <c r="O4" s="13">
        <v>0</v>
      </c>
      <c r="P4" s="13">
        <v>2</v>
      </c>
      <c r="Q4" s="13">
        <v>0</v>
      </c>
      <c r="R4" s="13">
        <v>0</v>
      </c>
      <c r="S4" s="13">
        <v>0</v>
      </c>
      <c r="T4" s="13">
        <v>0</v>
      </c>
      <c r="U4" s="13">
        <v>0</v>
      </c>
      <c r="V4" s="13">
        <v>0</v>
      </c>
      <c r="W4" s="13">
        <v>0</v>
      </c>
      <c r="X4" s="13">
        <v>0</v>
      </c>
      <c r="Y4" s="13">
        <v>0</v>
      </c>
      <c r="Z4" s="13">
        <v>0</v>
      </c>
      <c r="AA4" s="13">
        <v>0</v>
      </c>
      <c r="AB4" s="13">
        <v>0</v>
      </c>
      <c r="AC4" s="13">
        <v>0</v>
      </c>
    </row>
    <row r="5" spans="1:29">
      <c r="A5" s="13">
        <v>3</v>
      </c>
      <c r="B5" s="15" t="s">
        <v>1309</v>
      </c>
      <c r="C5" s="13">
        <v>0</v>
      </c>
      <c r="D5" s="19">
        <v>3</v>
      </c>
      <c r="E5" s="19">
        <v>4</v>
      </c>
      <c r="F5" s="13">
        <v>0</v>
      </c>
      <c r="G5" s="13">
        <v>0</v>
      </c>
      <c r="H5" s="13">
        <v>0</v>
      </c>
      <c r="I5" s="13">
        <v>0</v>
      </c>
      <c r="J5" s="13">
        <v>0</v>
      </c>
      <c r="K5" s="13">
        <v>0</v>
      </c>
      <c r="L5" s="13">
        <v>0</v>
      </c>
      <c r="M5" s="13">
        <v>0</v>
      </c>
      <c r="N5" s="13">
        <v>0</v>
      </c>
      <c r="O5" s="13">
        <v>0</v>
      </c>
      <c r="P5" s="13">
        <v>2</v>
      </c>
      <c r="Q5" s="13">
        <v>0</v>
      </c>
      <c r="R5" s="13">
        <v>0</v>
      </c>
      <c r="S5" s="13">
        <v>0</v>
      </c>
      <c r="T5" s="13">
        <v>0</v>
      </c>
      <c r="U5" s="13">
        <v>0</v>
      </c>
      <c r="V5" s="13">
        <v>0</v>
      </c>
      <c r="W5" s="13">
        <v>0</v>
      </c>
      <c r="X5" s="13">
        <v>0</v>
      </c>
      <c r="Y5" s="13">
        <v>0</v>
      </c>
      <c r="Z5" s="13">
        <v>0</v>
      </c>
      <c r="AA5" s="13">
        <v>0</v>
      </c>
      <c r="AB5" s="13">
        <v>0</v>
      </c>
      <c r="AC5" s="13">
        <v>0</v>
      </c>
    </row>
    <row r="6" spans="1:29">
      <c r="A6" s="13">
        <v>4</v>
      </c>
      <c r="B6" s="15" t="s">
        <v>1308</v>
      </c>
      <c r="C6" s="13">
        <v>-2</v>
      </c>
      <c r="D6" s="16">
        <v>2</v>
      </c>
      <c r="E6" s="16">
        <v>3</v>
      </c>
      <c r="F6" s="13">
        <v>0</v>
      </c>
      <c r="G6" s="13">
        <v>0</v>
      </c>
      <c r="H6" s="13">
        <v>0</v>
      </c>
      <c r="I6" s="13">
        <v>0</v>
      </c>
      <c r="J6" s="13">
        <v>0</v>
      </c>
      <c r="K6" s="13">
        <v>0</v>
      </c>
      <c r="L6" s="13">
        <v>0</v>
      </c>
      <c r="M6" s="13">
        <v>0</v>
      </c>
      <c r="N6" s="13">
        <v>0</v>
      </c>
      <c r="O6" s="13">
        <v>0</v>
      </c>
      <c r="P6" s="13">
        <v>2</v>
      </c>
      <c r="Q6" s="13">
        <v>0</v>
      </c>
      <c r="R6" s="13">
        <v>0</v>
      </c>
      <c r="S6" s="13">
        <v>0</v>
      </c>
      <c r="T6" s="13">
        <v>0</v>
      </c>
      <c r="U6" s="13">
        <v>0</v>
      </c>
      <c r="V6" s="13">
        <v>0</v>
      </c>
      <c r="W6" s="13">
        <v>0</v>
      </c>
      <c r="X6" s="13">
        <v>0</v>
      </c>
      <c r="Y6" s="13">
        <v>0</v>
      </c>
      <c r="Z6" s="13">
        <v>0</v>
      </c>
      <c r="AA6" s="13">
        <v>0</v>
      </c>
      <c r="AB6" s="13">
        <v>0</v>
      </c>
      <c r="AC6" s="13">
        <v>0</v>
      </c>
    </row>
    <row r="7" spans="1:29">
      <c r="A7" s="13">
        <v>5</v>
      </c>
      <c r="B7" s="15" t="s">
        <v>1307</v>
      </c>
      <c r="C7" s="13">
        <v>-2</v>
      </c>
      <c r="D7" s="13">
        <v>2</v>
      </c>
      <c r="E7" s="13">
        <v>2</v>
      </c>
      <c r="F7" s="13">
        <v>0</v>
      </c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13">
        <v>0</v>
      </c>
      <c r="M7" s="13">
        <v>0</v>
      </c>
      <c r="N7" s="13">
        <v>0</v>
      </c>
      <c r="O7" s="13">
        <v>0</v>
      </c>
      <c r="P7" s="13">
        <v>2</v>
      </c>
      <c r="Q7" s="13">
        <v>-1</v>
      </c>
      <c r="R7" s="13">
        <v>0</v>
      </c>
      <c r="S7" s="13">
        <v>0</v>
      </c>
      <c r="T7" s="13">
        <v>0</v>
      </c>
      <c r="U7" s="13">
        <v>0</v>
      </c>
      <c r="V7" s="13">
        <v>0</v>
      </c>
      <c r="W7" s="13">
        <v>0</v>
      </c>
      <c r="X7" s="13">
        <v>0</v>
      </c>
      <c r="Y7" s="13">
        <v>0</v>
      </c>
      <c r="Z7" s="13">
        <v>0</v>
      </c>
      <c r="AA7" s="13">
        <v>0</v>
      </c>
      <c r="AB7" s="13">
        <v>0</v>
      </c>
      <c r="AC7" s="13">
        <v>0</v>
      </c>
    </row>
    <row r="8" spans="1:29">
      <c r="A8" s="13">
        <v>6</v>
      </c>
      <c r="B8" s="15" t="s">
        <v>1306</v>
      </c>
      <c r="C8" s="13">
        <v>-2</v>
      </c>
      <c r="D8" s="13">
        <v>0</v>
      </c>
      <c r="E8" s="13">
        <v>0</v>
      </c>
      <c r="F8" s="18">
        <v>0</v>
      </c>
      <c r="G8" s="13">
        <v>0</v>
      </c>
      <c r="H8" s="18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3">
        <v>2</v>
      </c>
      <c r="Q8" s="13">
        <v>-1</v>
      </c>
      <c r="R8" s="13">
        <v>0</v>
      </c>
      <c r="S8" s="13">
        <v>0</v>
      </c>
      <c r="T8" s="13">
        <v>0</v>
      </c>
      <c r="U8" s="13">
        <v>0</v>
      </c>
      <c r="V8" s="13">
        <v>0</v>
      </c>
      <c r="W8" s="13">
        <v>0</v>
      </c>
      <c r="X8" s="13">
        <v>0</v>
      </c>
      <c r="Y8" s="13">
        <v>0</v>
      </c>
      <c r="Z8" s="13">
        <v>0</v>
      </c>
      <c r="AA8" s="13">
        <v>0</v>
      </c>
      <c r="AB8" s="13">
        <v>0</v>
      </c>
      <c r="AC8" s="13">
        <v>0</v>
      </c>
    </row>
    <row r="9" spans="1:29">
      <c r="A9" s="13">
        <v>7</v>
      </c>
      <c r="B9" s="15" t="s">
        <v>1305</v>
      </c>
      <c r="C9" s="13">
        <v>-2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2</v>
      </c>
      <c r="Q9" s="13">
        <v>-1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3">
        <v>0</v>
      </c>
      <c r="AA9" s="13">
        <v>0</v>
      </c>
      <c r="AB9" s="13">
        <v>0</v>
      </c>
      <c r="AC9" s="13">
        <v>0</v>
      </c>
    </row>
    <row r="10" spans="1:29">
      <c r="A10" s="13">
        <v>8</v>
      </c>
      <c r="B10" s="15" t="s">
        <v>1304</v>
      </c>
      <c r="C10" s="13">
        <v>-3</v>
      </c>
      <c r="D10" s="13">
        <v>0</v>
      </c>
      <c r="E10" s="13">
        <v>0</v>
      </c>
      <c r="F10" s="13">
        <v>0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3">
        <v>0</v>
      </c>
      <c r="P10" s="13">
        <v>2</v>
      </c>
      <c r="Q10" s="13">
        <v>-2</v>
      </c>
      <c r="R10" s="13">
        <v>0</v>
      </c>
      <c r="S10" s="13">
        <v>0</v>
      </c>
      <c r="T10" s="13">
        <v>0</v>
      </c>
      <c r="U10" s="13">
        <v>0</v>
      </c>
      <c r="V10" s="13">
        <v>0</v>
      </c>
      <c r="W10" s="13">
        <v>0</v>
      </c>
      <c r="X10" s="13">
        <v>0</v>
      </c>
      <c r="Y10" s="13">
        <v>0</v>
      </c>
      <c r="Z10" s="13">
        <v>0</v>
      </c>
      <c r="AA10" s="13">
        <v>0</v>
      </c>
      <c r="AB10" s="13">
        <v>0</v>
      </c>
      <c r="AC10" s="13">
        <v>0</v>
      </c>
    </row>
    <row r="11" spans="1:29">
      <c r="A11" s="13">
        <v>9</v>
      </c>
      <c r="B11" s="15" t="s">
        <v>1303</v>
      </c>
      <c r="C11" s="15">
        <v>-4</v>
      </c>
      <c r="D11" s="13">
        <v>-2</v>
      </c>
      <c r="E11" s="13">
        <v>-2</v>
      </c>
      <c r="F11" s="13">
        <v>-2</v>
      </c>
      <c r="G11" s="13">
        <v>-2</v>
      </c>
      <c r="H11" s="13">
        <v>0</v>
      </c>
      <c r="I11" s="13">
        <v>4</v>
      </c>
      <c r="J11" s="13">
        <v>2</v>
      </c>
      <c r="K11" s="13">
        <v>2</v>
      </c>
      <c r="L11" s="13">
        <v>2</v>
      </c>
      <c r="M11" s="13">
        <v>0</v>
      </c>
      <c r="N11" s="13">
        <v>0</v>
      </c>
      <c r="O11" s="13">
        <v>0</v>
      </c>
      <c r="P11" s="13">
        <v>3</v>
      </c>
      <c r="Q11" s="13">
        <v>-3</v>
      </c>
      <c r="R11" s="13">
        <v>-2</v>
      </c>
      <c r="S11" s="13">
        <v>-1</v>
      </c>
      <c r="T11" s="13">
        <v>-1</v>
      </c>
      <c r="U11" s="13">
        <v>-1</v>
      </c>
      <c r="V11" s="13">
        <v>0</v>
      </c>
      <c r="W11" s="13">
        <v>0</v>
      </c>
      <c r="X11" s="13">
        <v>0</v>
      </c>
      <c r="Y11" s="13">
        <v>0</v>
      </c>
      <c r="Z11" s="13">
        <v>0</v>
      </c>
      <c r="AA11" s="13">
        <v>0</v>
      </c>
      <c r="AB11" s="13">
        <v>0</v>
      </c>
      <c r="AC11" s="13">
        <v>0</v>
      </c>
    </row>
    <row r="12" spans="1:29">
      <c r="A12" s="13">
        <v>10</v>
      </c>
      <c r="B12" s="15" t="s">
        <v>1302</v>
      </c>
      <c r="C12" s="15">
        <v>-5</v>
      </c>
      <c r="D12" s="15">
        <v>-4</v>
      </c>
      <c r="E12" s="15">
        <v>-4</v>
      </c>
      <c r="F12" s="15">
        <v>-4</v>
      </c>
      <c r="G12" s="15">
        <v>-4</v>
      </c>
      <c r="H12" s="15">
        <v>-4</v>
      </c>
      <c r="I12" s="15">
        <v>0</v>
      </c>
      <c r="J12" s="13">
        <v>4</v>
      </c>
      <c r="K12" s="13">
        <v>4</v>
      </c>
      <c r="L12" s="13">
        <v>4</v>
      </c>
      <c r="M12" s="13">
        <v>2</v>
      </c>
      <c r="N12" s="13">
        <v>2</v>
      </c>
      <c r="O12" s="13">
        <v>2</v>
      </c>
      <c r="P12" s="13">
        <v>4</v>
      </c>
      <c r="Q12" s="13">
        <v>-4</v>
      </c>
      <c r="R12" s="13">
        <v>-3</v>
      </c>
      <c r="S12" s="13">
        <v>-2</v>
      </c>
      <c r="T12" s="13">
        <v>-2</v>
      </c>
      <c r="U12" s="13">
        <v>-2</v>
      </c>
      <c r="V12" s="13">
        <v>-2</v>
      </c>
      <c r="W12" s="13">
        <v>0</v>
      </c>
      <c r="X12" s="13">
        <v>0</v>
      </c>
      <c r="Y12" s="13">
        <v>0</v>
      </c>
      <c r="Z12" s="13">
        <v>0</v>
      </c>
      <c r="AA12" s="13">
        <v>0</v>
      </c>
      <c r="AB12" s="13">
        <v>0</v>
      </c>
      <c r="AC12" s="13">
        <v>0</v>
      </c>
    </row>
    <row r="13" spans="1:29">
      <c r="A13" s="13">
        <v>11</v>
      </c>
      <c r="B13" s="15" t="s">
        <v>1301</v>
      </c>
      <c r="C13" s="15">
        <v>-6</v>
      </c>
      <c r="D13" s="15">
        <v>-5</v>
      </c>
      <c r="E13" s="15">
        <v>-5</v>
      </c>
      <c r="F13" s="15">
        <v>-5</v>
      </c>
      <c r="G13" s="15">
        <v>-5</v>
      </c>
      <c r="H13" s="15">
        <v>-5</v>
      </c>
      <c r="I13" s="13">
        <v>-2</v>
      </c>
      <c r="J13" s="13">
        <v>-2</v>
      </c>
      <c r="K13" s="13">
        <v>3</v>
      </c>
      <c r="L13" s="13">
        <v>2</v>
      </c>
      <c r="M13" s="13">
        <v>2</v>
      </c>
      <c r="N13" s="13">
        <v>2</v>
      </c>
      <c r="O13" s="13">
        <v>2</v>
      </c>
      <c r="P13" s="13">
        <v>4</v>
      </c>
      <c r="Q13" s="13">
        <v>-4</v>
      </c>
      <c r="R13" s="13">
        <v>-3</v>
      </c>
      <c r="S13" s="13">
        <v>-2</v>
      </c>
      <c r="T13" s="13">
        <v>-2</v>
      </c>
      <c r="U13" s="13">
        <v>-2</v>
      </c>
      <c r="V13" s="13">
        <v>-2</v>
      </c>
      <c r="W13" s="13">
        <v>-1</v>
      </c>
      <c r="X13" s="13">
        <v>0</v>
      </c>
      <c r="Y13" s="13">
        <v>0</v>
      </c>
      <c r="Z13" s="13">
        <v>0</v>
      </c>
      <c r="AA13" s="13">
        <v>0</v>
      </c>
      <c r="AB13" s="13">
        <v>0</v>
      </c>
      <c r="AC13" s="13">
        <v>0</v>
      </c>
    </row>
    <row r="14" spans="1:29">
      <c r="A14" s="13">
        <v>12</v>
      </c>
      <c r="B14" s="15" t="s">
        <v>1300</v>
      </c>
      <c r="C14" s="13">
        <v>-7</v>
      </c>
      <c r="D14" s="15">
        <v>-6</v>
      </c>
      <c r="E14" s="15">
        <v>-6</v>
      </c>
      <c r="F14" s="15">
        <v>-6</v>
      </c>
      <c r="G14" s="15">
        <v>-6</v>
      </c>
      <c r="H14" s="15">
        <v>-6</v>
      </c>
      <c r="I14" s="13">
        <v>-4</v>
      </c>
      <c r="J14" s="13">
        <v>-4</v>
      </c>
      <c r="K14" s="13">
        <v>-3</v>
      </c>
      <c r="L14" s="13">
        <v>2</v>
      </c>
      <c r="M14" s="13">
        <v>2</v>
      </c>
      <c r="N14" s="13">
        <v>2</v>
      </c>
      <c r="O14" s="13">
        <v>2</v>
      </c>
      <c r="P14" s="13">
        <v>4</v>
      </c>
      <c r="Q14" s="13">
        <v>-5</v>
      </c>
      <c r="R14" s="13">
        <v>-4</v>
      </c>
      <c r="S14" s="13">
        <v>-3</v>
      </c>
      <c r="T14" s="13">
        <v>-3</v>
      </c>
      <c r="U14" s="13">
        <v>-3</v>
      </c>
      <c r="V14" s="13">
        <v>-3</v>
      </c>
      <c r="W14" s="13">
        <v>-2</v>
      </c>
      <c r="X14" s="13">
        <v>-1</v>
      </c>
      <c r="Y14" s="13">
        <v>-1</v>
      </c>
      <c r="Z14" s="13">
        <v>0</v>
      </c>
      <c r="AA14" s="13">
        <v>0</v>
      </c>
      <c r="AB14" s="13">
        <v>0</v>
      </c>
      <c r="AC14" s="13">
        <v>0</v>
      </c>
    </row>
    <row r="15" spans="1:29">
      <c r="A15" s="13">
        <v>13</v>
      </c>
      <c r="B15" s="15" t="s">
        <v>1299</v>
      </c>
      <c r="C15" s="13">
        <v>-8</v>
      </c>
      <c r="D15" s="13">
        <v>-7</v>
      </c>
      <c r="E15" s="13">
        <v>-7</v>
      </c>
      <c r="F15" s="13">
        <v>-7</v>
      </c>
      <c r="G15" s="13">
        <v>-7</v>
      </c>
      <c r="H15" s="13">
        <v>-7</v>
      </c>
      <c r="I15" s="13">
        <v>-5</v>
      </c>
      <c r="J15" s="13">
        <v>-5</v>
      </c>
      <c r="K15" s="13">
        <v>-4</v>
      </c>
      <c r="L15" s="13">
        <v>0</v>
      </c>
      <c r="M15" s="13">
        <v>0</v>
      </c>
      <c r="N15" s="13">
        <v>2</v>
      </c>
      <c r="O15" s="13">
        <v>2</v>
      </c>
      <c r="P15" s="13">
        <v>4</v>
      </c>
      <c r="Q15" s="13">
        <v>-5</v>
      </c>
      <c r="R15" s="13">
        <v>-4</v>
      </c>
      <c r="S15" s="13">
        <v>-3</v>
      </c>
      <c r="T15" s="13">
        <v>-3</v>
      </c>
      <c r="U15" s="13">
        <v>-3</v>
      </c>
      <c r="V15" s="13">
        <v>-3</v>
      </c>
      <c r="W15" s="13">
        <v>-2</v>
      </c>
      <c r="X15" s="13">
        <v>-1</v>
      </c>
      <c r="Y15" s="13">
        <v>-1</v>
      </c>
      <c r="Z15" s="13">
        <v>0</v>
      </c>
      <c r="AA15" s="13">
        <v>0</v>
      </c>
      <c r="AB15" s="13">
        <v>0</v>
      </c>
      <c r="AC15" s="13">
        <v>0</v>
      </c>
    </row>
    <row r="16" spans="1:29">
      <c r="A16" s="13">
        <v>14</v>
      </c>
      <c r="B16" s="13" t="s">
        <v>1298</v>
      </c>
      <c r="C16" s="13">
        <v>-9</v>
      </c>
      <c r="D16" s="13">
        <v>-8</v>
      </c>
      <c r="E16" s="13">
        <v>-8</v>
      </c>
      <c r="F16" s="13">
        <v>-8</v>
      </c>
      <c r="G16" s="13">
        <v>-8</v>
      </c>
      <c r="H16" s="13">
        <v>-8</v>
      </c>
      <c r="I16" s="13">
        <v>-7</v>
      </c>
      <c r="J16" s="13">
        <v>-7</v>
      </c>
      <c r="K16" s="13">
        <v>-6</v>
      </c>
      <c r="L16" s="13">
        <v>-3</v>
      </c>
      <c r="M16" s="13">
        <v>-3</v>
      </c>
      <c r="N16" s="13">
        <v>-3</v>
      </c>
      <c r="O16" s="13">
        <v>-2</v>
      </c>
      <c r="P16" s="13">
        <v>5</v>
      </c>
      <c r="Q16" s="13">
        <v>-6</v>
      </c>
      <c r="R16" s="13">
        <v>-5</v>
      </c>
      <c r="S16" s="13">
        <v>-4</v>
      </c>
      <c r="T16" s="13">
        <v>-4</v>
      </c>
      <c r="U16" s="13">
        <v>-4</v>
      </c>
      <c r="V16" s="13">
        <v>-4</v>
      </c>
      <c r="W16" s="13">
        <v>-3</v>
      </c>
      <c r="X16" s="13">
        <v>-2</v>
      </c>
      <c r="Y16" s="13">
        <v>-2</v>
      </c>
      <c r="Z16" s="13">
        <v>-1</v>
      </c>
      <c r="AA16" s="13">
        <v>-1</v>
      </c>
      <c r="AB16" s="13">
        <v>-1</v>
      </c>
      <c r="AC16" s="13">
        <v>-1</v>
      </c>
    </row>
    <row r="17" spans="1:29">
      <c r="A17" s="13">
        <v>15</v>
      </c>
      <c r="B17" s="13" t="s">
        <v>1297</v>
      </c>
      <c r="C17" s="13">
        <v>-10</v>
      </c>
      <c r="D17" s="13">
        <v>-10</v>
      </c>
      <c r="E17" s="13">
        <v>-10</v>
      </c>
      <c r="F17" s="13">
        <v>-10</v>
      </c>
      <c r="G17" s="13">
        <v>-10</v>
      </c>
      <c r="H17" s="13">
        <v>-10</v>
      </c>
      <c r="I17" s="13">
        <v>-10</v>
      </c>
      <c r="J17" s="13">
        <v>-10</v>
      </c>
      <c r="K17" s="13">
        <v>-9</v>
      </c>
      <c r="L17" s="13">
        <v>-7</v>
      </c>
      <c r="M17" s="13">
        <v>-7</v>
      </c>
      <c r="N17" s="13">
        <v>-7</v>
      </c>
      <c r="O17" s="13">
        <v>-5</v>
      </c>
      <c r="P17" s="13">
        <v>5</v>
      </c>
      <c r="Q17" s="13">
        <v>-6</v>
      </c>
      <c r="R17" s="13">
        <v>-5</v>
      </c>
      <c r="S17" s="13">
        <v>-4</v>
      </c>
      <c r="T17" s="13">
        <v>-4</v>
      </c>
      <c r="U17" s="13">
        <v>-4</v>
      </c>
      <c r="V17" s="13">
        <v>-4</v>
      </c>
      <c r="W17" s="13">
        <v>-3</v>
      </c>
      <c r="X17" s="13">
        <v>-2</v>
      </c>
      <c r="Y17" s="13">
        <v>-2</v>
      </c>
      <c r="Z17" s="13">
        <v>-1</v>
      </c>
      <c r="AA17" s="13">
        <v>-1</v>
      </c>
      <c r="AB17" s="13">
        <v>-1</v>
      </c>
      <c r="AC17" s="13">
        <v>-1</v>
      </c>
    </row>
    <row r="18" spans="1:29">
      <c r="A18" s="13">
        <v>16</v>
      </c>
      <c r="B18" s="13" t="s">
        <v>1296</v>
      </c>
      <c r="C18" s="13">
        <v>-10</v>
      </c>
      <c r="D18" s="13">
        <v>-10</v>
      </c>
      <c r="E18" s="13">
        <v>-10</v>
      </c>
      <c r="F18" s="13">
        <v>-10</v>
      </c>
      <c r="G18" s="13">
        <v>-10</v>
      </c>
      <c r="H18" s="13">
        <v>-10</v>
      </c>
      <c r="I18" s="13">
        <v>-10</v>
      </c>
      <c r="J18" s="13">
        <v>-10</v>
      </c>
      <c r="K18" s="13">
        <v>-10</v>
      </c>
      <c r="L18" s="13">
        <v>-9</v>
      </c>
      <c r="M18" s="13">
        <v>-9</v>
      </c>
      <c r="N18" s="13">
        <v>-9</v>
      </c>
      <c r="O18" s="13">
        <v>-7</v>
      </c>
      <c r="P18" s="13">
        <v>6</v>
      </c>
      <c r="Q18" s="13">
        <v>-7</v>
      </c>
      <c r="R18" s="13">
        <v>-6</v>
      </c>
      <c r="S18" s="13">
        <v>-5</v>
      </c>
      <c r="T18" s="13">
        <v>-5</v>
      </c>
      <c r="U18" s="13">
        <v>-5</v>
      </c>
      <c r="V18" s="13">
        <v>-5</v>
      </c>
      <c r="W18" s="13">
        <v>-4</v>
      </c>
      <c r="X18" s="13">
        <v>-3</v>
      </c>
      <c r="Y18" s="13">
        <v>-3</v>
      </c>
      <c r="Z18" s="13">
        <v>-2</v>
      </c>
      <c r="AA18" s="13">
        <v>-2</v>
      </c>
      <c r="AB18" s="13">
        <v>-2</v>
      </c>
      <c r="AC18" s="13">
        <v>-2</v>
      </c>
    </row>
    <row r="19" spans="1:29" ht="14.25">
      <c r="B19" s="17" t="s">
        <v>708</v>
      </c>
      <c r="C19" s="13">
        <v>1</v>
      </c>
      <c r="D19" s="13">
        <v>2</v>
      </c>
      <c r="E19" s="13">
        <v>3</v>
      </c>
      <c r="F19" s="13">
        <v>4</v>
      </c>
      <c r="G19" s="13">
        <v>4</v>
      </c>
      <c r="H19" s="13">
        <v>5</v>
      </c>
      <c r="I19" s="13">
        <v>6</v>
      </c>
      <c r="J19" s="13">
        <v>7</v>
      </c>
      <c r="K19" s="13">
        <v>8</v>
      </c>
      <c r="L19" s="13">
        <v>9</v>
      </c>
      <c r="M19" s="13">
        <v>10</v>
      </c>
      <c r="N19" s="13">
        <v>11</v>
      </c>
      <c r="O19" s="13">
        <v>12</v>
      </c>
      <c r="Q19" s="13">
        <v>1</v>
      </c>
      <c r="R19" s="13">
        <v>2</v>
      </c>
      <c r="S19" s="13">
        <v>3</v>
      </c>
      <c r="T19" s="13">
        <v>4</v>
      </c>
      <c r="U19" s="13">
        <v>4</v>
      </c>
      <c r="V19" s="13">
        <v>5</v>
      </c>
      <c r="W19" s="13">
        <v>6</v>
      </c>
      <c r="X19" s="13">
        <v>7</v>
      </c>
      <c r="Y19" s="13">
        <v>8</v>
      </c>
      <c r="Z19" s="13">
        <v>9</v>
      </c>
      <c r="AA19" s="13">
        <v>10</v>
      </c>
      <c r="AB19" s="13">
        <v>11</v>
      </c>
      <c r="AC19" s="13">
        <v>12</v>
      </c>
    </row>
    <row r="20" spans="1:29">
      <c r="C20" s="15" t="s">
        <v>1295</v>
      </c>
      <c r="D20" s="15" t="s">
        <v>1294</v>
      </c>
      <c r="E20" s="15" t="s">
        <v>1294</v>
      </c>
      <c r="F20" s="15" t="s">
        <v>1293</v>
      </c>
      <c r="G20" s="15" t="s">
        <v>1292</v>
      </c>
      <c r="H20" s="15" t="s">
        <v>1291</v>
      </c>
      <c r="I20" s="15" t="s">
        <v>1290</v>
      </c>
      <c r="J20" s="13" t="s">
        <v>1289</v>
      </c>
      <c r="K20" s="15" t="s">
        <v>1288</v>
      </c>
      <c r="L20" s="13" t="s">
        <v>1287</v>
      </c>
      <c r="M20" s="15" t="s">
        <v>1286</v>
      </c>
      <c r="N20" s="15" t="s">
        <v>1285</v>
      </c>
      <c r="O20" s="15" t="s">
        <v>1284</v>
      </c>
      <c r="Q20" s="15" t="s">
        <v>1295</v>
      </c>
      <c r="R20" s="15" t="s">
        <v>1294</v>
      </c>
      <c r="S20" s="15" t="s">
        <v>1294</v>
      </c>
      <c r="T20" s="15" t="s">
        <v>1293</v>
      </c>
      <c r="U20" s="15" t="s">
        <v>1292</v>
      </c>
      <c r="V20" s="15" t="s">
        <v>1291</v>
      </c>
      <c r="W20" s="15" t="s">
        <v>1290</v>
      </c>
      <c r="X20" s="13" t="s">
        <v>1289</v>
      </c>
      <c r="Y20" s="15" t="s">
        <v>1288</v>
      </c>
      <c r="Z20" s="13" t="s">
        <v>1287</v>
      </c>
      <c r="AA20" s="15" t="s">
        <v>1286</v>
      </c>
      <c r="AB20" s="15" t="s">
        <v>1285</v>
      </c>
      <c r="AC20" s="15" t="s">
        <v>1284</v>
      </c>
    </row>
    <row r="21" spans="1:29">
      <c r="D21" s="15" t="s">
        <v>1283</v>
      </c>
      <c r="E21" s="15" t="s">
        <v>1282</v>
      </c>
      <c r="G21" s="15" t="s">
        <v>1281</v>
      </c>
      <c r="H21" s="15"/>
      <c r="I21" s="13" t="s">
        <v>1280</v>
      </c>
      <c r="J21" s="13" t="s">
        <v>1255</v>
      </c>
      <c r="K21" s="15" t="s">
        <v>1279</v>
      </c>
      <c r="L21" s="15" t="s">
        <v>1278</v>
      </c>
      <c r="M21" s="15" t="s">
        <v>1071</v>
      </c>
      <c r="N21" s="13" t="s">
        <v>1277</v>
      </c>
      <c r="O21" s="15" t="s">
        <v>1276</v>
      </c>
      <c r="R21" s="15" t="s">
        <v>1283</v>
      </c>
      <c r="S21" s="15" t="s">
        <v>1282</v>
      </c>
      <c r="U21" s="15" t="s">
        <v>1281</v>
      </c>
      <c r="V21" s="15"/>
      <c r="W21" s="13" t="s">
        <v>1280</v>
      </c>
      <c r="X21" s="13" t="s">
        <v>1255</v>
      </c>
      <c r="Y21" s="15" t="s">
        <v>1279</v>
      </c>
      <c r="Z21" s="15" t="s">
        <v>1278</v>
      </c>
      <c r="AA21" s="15" t="s">
        <v>1071</v>
      </c>
      <c r="AB21" s="13" t="s">
        <v>1277</v>
      </c>
      <c r="AC21" s="15" t="s">
        <v>1276</v>
      </c>
    </row>
    <row r="22" spans="1:29">
      <c r="G22" s="15" t="s">
        <v>1275</v>
      </c>
      <c r="H22" s="15"/>
      <c r="I22" s="15"/>
      <c r="J22" s="15" t="s">
        <v>1274</v>
      </c>
      <c r="K22" s="15" t="s">
        <v>1273</v>
      </c>
      <c r="L22" s="15" t="s">
        <v>1272</v>
      </c>
      <c r="N22" s="15" t="s">
        <v>1271</v>
      </c>
      <c r="U22" s="15" t="s">
        <v>1275</v>
      </c>
      <c r="V22" s="15"/>
      <c r="W22" s="15"/>
      <c r="X22" s="15" t="s">
        <v>1274</v>
      </c>
      <c r="Y22" s="15" t="s">
        <v>1273</v>
      </c>
      <c r="Z22" s="15" t="s">
        <v>1272</v>
      </c>
      <c r="AB22" s="15" t="s">
        <v>1271</v>
      </c>
    </row>
    <row r="23" spans="1:29">
      <c r="J23" s="15"/>
      <c r="K23" s="15" t="s">
        <v>1270</v>
      </c>
      <c r="X23" s="15"/>
      <c r="Y23" s="15" t="s">
        <v>1270</v>
      </c>
    </row>
    <row r="24" spans="1:29" ht="14.25">
      <c r="B24" s="33" t="s">
        <v>1400</v>
      </c>
    </row>
    <row r="26" spans="1:29" ht="14.25">
      <c r="B26" s="14" t="s">
        <v>1402</v>
      </c>
    </row>
  </sheetData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67"/>
  <sheetViews>
    <sheetView zoomScale="85" zoomScaleNormal="85" workbookViewId="0">
      <selection activeCell="I17" sqref="I17"/>
    </sheetView>
  </sheetViews>
  <sheetFormatPr defaultRowHeight="12.75"/>
  <cols>
    <col min="1" max="4" width="9.140625" style="20"/>
    <col min="5" max="5" width="9.28515625" style="20" bestFit="1" customWidth="1"/>
    <col min="6" max="16384" width="9.140625" style="20"/>
  </cols>
  <sheetData>
    <row r="3" spans="1:11" ht="14.25">
      <c r="A3" s="23"/>
    </row>
    <row r="4" spans="1:11" ht="14.25">
      <c r="A4" s="23"/>
      <c r="B4" s="20">
        <v>1</v>
      </c>
      <c r="C4" s="20" t="s">
        <v>1316</v>
      </c>
      <c r="D4" s="20" t="s">
        <v>1319</v>
      </c>
      <c r="E4" s="20" t="s">
        <v>716</v>
      </c>
      <c r="F4" s="20" t="s">
        <v>1318</v>
      </c>
      <c r="G4" s="20" t="s">
        <v>1317</v>
      </c>
      <c r="H4" s="20" t="s">
        <v>1316</v>
      </c>
      <c r="J4" s="20" t="s">
        <v>1318</v>
      </c>
      <c r="K4" s="25">
        <f>F9+F15+F21+F27+F33+F39</f>
        <v>0</v>
      </c>
    </row>
    <row r="5" spans="1:11">
      <c r="C5" s="26"/>
      <c r="D5" s="26"/>
      <c r="E5" s="25">
        <f>IF(C5&gt;0,VLOOKUP(C5,Equip!A:G,6,FALSE),0)</f>
        <v>0</v>
      </c>
      <c r="F5" s="25">
        <f>IF(AND(G5&gt;=5,G5&lt;=9),INT(SQRT(D5)*E5),0)</f>
        <v>0</v>
      </c>
      <c r="G5" s="25">
        <f>IF(C5&gt;0,VLOOKUP(C5,Equip!A:N,13,FALSE),0)</f>
        <v>0</v>
      </c>
      <c r="H5" s="25">
        <f>IF(C5&gt;0,VLOOKUP(C5,Equip!A:C,2,FALSE),0)</f>
        <v>0</v>
      </c>
    </row>
    <row r="6" spans="1:11">
      <c r="C6" s="26"/>
      <c r="D6" s="26"/>
      <c r="E6" s="25">
        <f>IF(C6&gt;0,VLOOKUP(C6,Equip!A:G,6,FALSE),0)</f>
        <v>0</v>
      </c>
      <c r="F6" s="25">
        <f>IF(AND(G6&gt;=5,G6&lt;=9),INT(SQRT(D6)*E6),0)</f>
        <v>0</v>
      </c>
      <c r="G6" s="25">
        <f>IF(C6&gt;0,VLOOKUP(C6,Equip!A:N,13,FALSE),0)</f>
        <v>0</v>
      </c>
      <c r="H6" s="25">
        <f>IF(C6&gt;0,VLOOKUP(C6,Equip!A:C,2,FALSE),0)</f>
        <v>0</v>
      </c>
    </row>
    <row r="7" spans="1:11">
      <c r="C7" s="26"/>
      <c r="D7" s="26"/>
      <c r="E7" s="25">
        <f>IF(C7&gt;0,VLOOKUP(C7,Equip!A:G,6,FALSE),0)</f>
        <v>0</v>
      </c>
      <c r="F7" s="25">
        <f>IF(AND(G7&gt;=5,G7&lt;=9),INT(SQRT(D7)*E7),0)</f>
        <v>0</v>
      </c>
      <c r="G7" s="25">
        <f>IF(C7&gt;0,VLOOKUP(C7,Equip!A:N,13,FALSE),0)</f>
        <v>0</v>
      </c>
      <c r="H7" s="25">
        <f>IF(C7&gt;0,VLOOKUP(C7,Equip!A:C,2,FALSE),0)</f>
        <v>0</v>
      </c>
    </row>
    <row r="8" spans="1:11">
      <c r="C8" s="26"/>
      <c r="D8" s="26"/>
      <c r="E8" s="25">
        <f>IF(C8&gt;0,VLOOKUP(C8,Equip!A:G,6,FALSE),0)</f>
        <v>0</v>
      </c>
      <c r="F8" s="25">
        <f>IF(AND(G8&gt;=5,G8&lt;=9),INT(SQRT(D8)*E8),0)</f>
        <v>0</v>
      </c>
      <c r="G8" s="25">
        <f>IF(C8&gt;0,VLOOKUP(C8,Equip!A:N,13,FALSE),0)</f>
        <v>0</v>
      </c>
      <c r="H8" s="25">
        <f>IF(C8&gt;0,VLOOKUP(C8,Equip!A:C,2,FALSE),0)</f>
        <v>0</v>
      </c>
    </row>
    <row r="9" spans="1:11">
      <c r="F9" s="25">
        <f>SUM(F5:F8)</f>
        <v>0</v>
      </c>
    </row>
    <row r="10" spans="1:11">
      <c r="B10" s="20">
        <v>2</v>
      </c>
      <c r="C10" s="20" t="s">
        <v>1316</v>
      </c>
      <c r="D10" s="20" t="s">
        <v>1319</v>
      </c>
      <c r="E10" s="20" t="s">
        <v>716</v>
      </c>
      <c r="F10" s="20" t="s">
        <v>1318</v>
      </c>
      <c r="G10" s="20" t="s">
        <v>1317</v>
      </c>
      <c r="H10" s="20" t="s">
        <v>1316</v>
      </c>
    </row>
    <row r="11" spans="1:11">
      <c r="C11" s="26"/>
      <c r="D11" s="26"/>
      <c r="E11" s="25">
        <f>IF(C11&gt;0,VLOOKUP(C11,Equip!A:G,6,FALSE),0)</f>
        <v>0</v>
      </c>
      <c r="F11" s="25">
        <f>IF(AND(G11&gt;=5,G11&lt;=9),INT(SQRT(D11)*E11),0)</f>
        <v>0</v>
      </c>
      <c r="G11" s="25">
        <f>IF(C11&gt;0,VLOOKUP(C11,Equip!A:N,13,FALSE),0)</f>
        <v>0</v>
      </c>
      <c r="H11" s="25">
        <f>IF(C11&gt;0,VLOOKUP(C11,Equip!A:C,2,FALSE),0)</f>
        <v>0</v>
      </c>
    </row>
    <row r="12" spans="1:11">
      <c r="C12" s="26"/>
      <c r="D12" s="26"/>
      <c r="E12" s="25">
        <f>IF(C12&gt;0,VLOOKUP(C12,Equip!A:G,6,FALSE),0)</f>
        <v>0</v>
      </c>
      <c r="F12" s="25">
        <f>IF(AND(G12&gt;=5,G12&lt;=9),INT(SQRT(D12)*E12),0)</f>
        <v>0</v>
      </c>
      <c r="G12" s="25">
        <f>IF(C12&gt;0,VLOOKUP(C12,Equip!A:N,13,FALSE),0)</f>
        <v>0</v>
      </c>
      <c r="H12" s="25">
        <f>IF(C12&gt;0,VLOOKUP(C12,Equip!A:C,2,FALSE),0)</f>
        <v>0</v>
      </c>
    </row>
    <row r="13" spans="1:11">
      <c r="C13" s="26"/>
      <c r="D13" s="26"/>
      <c r="E13" s="25">
        <f>IF(C13&gt;0,VLOOKUP(C13,Equip!A:G,6,FALSE),0)</f>
        <v>0</v>
      </c>
      <c r="F13" s="25">
        <f>IF(AND(G13&gt;=5,G13&lt;=9),INT(SQRT(D13)*E13),0)</f>
        <v>0</v>
      </c>
      <c r="G13" s="25">
        <f>IF(C13&gt;0,VLOOKUP(C13,Equip!A:N,13,FALSE),0)</f>
        <v>0</v>
      </c>
      <c r="H13" s="25">
        <f>IF(C13&gt;0,VLOOKUP(C13,Equip!A:C,2,FALSE),0)</f>
        <v>0</v>
      </c>
    </row>
    <row r="14" spans="1:11">
      <c r="C14" s="26"/>
      <c r="D14" s="26"/>
      <c r="E14" s="25">
        <f>IF(C14&gt;0,VLOOKUP(C14,Equip!A:G,6,FALSE),0)</f>
        <v>0</v>
      </c>
      <c r="F14" s="25">
        <f>IF(AND(G14&gt;=5,G14&lt;=9),INT(SQRT(D14)*E14),0)</f>
        <v>0</v>
      </c>
      <c r="G14" s="25">
        <f>IF(C14&gt;0,VLOOKUP(C14,Equip!A:N,13,FALSE),0)</f>
        <v>0</v>
      </c>
      <c r="H14" s="25">
        <f>IF(C14&gt;0,VLOOKUP(C14,Equip!A:C,2,FALSE),0)</f>
        <v>0</v>
      </c>
    </row>
    <row r="15" spans="1:11">
      <c r="F15" s="25">
        <f>SUM(F11:F14)</f>
        <v>0</v>
      </c>
    </row>
    <row r="16" spans="1:11">
      <c r="A16" s="27"/>
      <c r="B16" s="20">
        <v>3</v>
      </c>
      <c r="C16" s="20" t="s">
        <v>1316</v>
      </c>
      <c r="D16" s="20" t="s">
        <v>1319</v>
      </c>
      <c r="E16" s="20" t="s">
        <v>716</v>
      </c>
      <c r="F16" s="20" t="s">
        <v>1318</v>
      </c>
      <c r="G16" s="20" t="s">
        <v>1317</v>
      </c>
      <c r="H16" s="20" t="s">
        <v>1316</v>
      </c>
    </row>
    <row r="17" spans="2:8">
      <c r="C17" s="26">
        <v>557</v>
      </c>
      <c r="D17" s="26">
        <v>72</v>
      </c>
      <c r="E17" s="25">
        <f>IF(C17&gt;0,VLOOKUP(C17,Equip!A:G,6,FALSE),0)</f>
        <v>15</v>
      </c>
      <c r="F17" s="25">
        <f>IF(AND(G17&gt;=5,G17&lt;=9),INT(SQRT(D17)*E17),0)</f>
        <v>0</v>
      </c>
      <c r="G17" s="25">
        <f>IF(C17&gt;0,VLOOKUP(C17,Equip!A:N,13,FALSE),0)</f>
        <v>0</v>
      </c>
      <c r="H17" s="25">
        <f>IF(C17&gt;0,VLOOKUP(C17,Equip!A:C,2,FALSE),0)</f>
        <v>6</v>
      </c>
    </row>
    <row r="18" spans="2:8">
      <c r="C18" s="26">
        <v>557</v>
      </c>
      <c r="D18" s="26">
        <v>72</v>
      </c>
      <c r="E18" s="25">
        <f>IF(C18&gt;0,VLOOKUP(C18,Equip!A:G,6,FALSE),0)</f>
        <v>15</v>
      </c>
      <c r="F18" s="25">
        <f>IF(AND(G18&gt;=5,G18&lt;=9),INT(SQRT(D18)*E18),0)</f>
        <v>0</v>
      </c>
      <c r="G18" s="25">
        <f>IF(C18&gt;0,VLOOKUP(C18,Equip!A:N,13,FALSE),0)</f>
        <v>0</v>
      </c>
      <c r="H18" s="25">
        <f>IF(C18&gt;0,VLOOKUP(C18,Equip!A:C,2,FALSE),0)</f>
        <v>6</v>
      </c>
    </row>
    <row r="19" spans="2:8">
      <c r="C19" s="26">
        <v>558</v>
      </c>
      <c r="D19" s="26">
        <v>108</v>
      </c>
      <c r="E19" s="25">
        <f>IF(C19&gt;0,VLOOKUP(C19,Equip!A:G,6,FALSE),0)</f>
        <v>0</v>
      </c>
      <c r="F19" s="25">
        <f>IF(AND(G19&gt;=5,G19&lt;=9),INT(SQRT(D19)*E19),0)</f>
        <v>0</v>
      </c>
      <c r="G19" s="25">
        <f>IF(C19&gt;0,VLOOKUP(C19,Equip!A:N,13,FALSE),0)</f>
        <v>0</v>
      </c>
      <c r="H19" s="25">
        <f>IF(C19&gt;0,VLOOKUP(C19,Equip!A:C,2,FALSE),0)</f>
        <v>7</v>
      </c>
    </row>
    <row r="20" spans="2:8">
      <c r="C20" s="26">
        <v>547</v>
      </c>
      <c r="D20" s="26">
        <v>22</v>
      </c>
      <c r="E20" s="25">
        <f>IF(C20&gt;0,VLOOKUP(C20,Equip!A:G,6,FALSE),0)</f>
        <v>0</v>
      </c>
      <c r="F20" s="25">
        <f>IF(AND(G20&gt;=5,G20&lt;=9),INT(SQRT(D20)*E20),0)</f>
        <v>0</v>
      </c>
      <c r="G20" s="25">
        <f>IF(C20&gt;0,VLOOKUP(C20,Equip!A:N,13,FALSE),0)</f>
        <v>0</v>
      </c>
      <c r="H20" s="25">
        <f>IF(C20&gt;0,VLOOKUP(C20,Equip!A:C,2,FALSE),0)</f>
        <v>5</v>
      </c>
    </row>
    <row r="21" spans="2:8">
      <c r="F21" s="25">
        <f>SUM(F17:F20)</f>
        <v>0</v>
      </c>
    </row>
    <row r="22" spans="2:8">
      <c r="B22" s="20">
        <v>4</v>
      </c>
      <c r="C22" s="20" t="s">
        <v>1316</v>
      </c>
      <c r="D22" s="20" t="s">
        <v>1319</v>
      </c>
      <c r="E22" s="20" t="s">
        <v>716</v>
      </c>
      <c r="F22" s="20" t="s">
        <v>1318</v>
      </c>
      <c r="G22" s="20" t="s">
        <v>1317</v>
      </c>
      <c r="H22" s="20" t="s">
        <v>1316</v>
      </c>
    </row>
    <row r="23" spans="2:8">
      <c r="C23" s="26"/>
      <c r="D23" s="26"/>
      <c r="E23" s="25">
        <f>IF(C23&gt;0,VLOOKUP(C23,Equip!A:G,6,FALSE),0)</f>
        <v>0</v>
      </c>
      <c r="F23" s="25">
        <f>IF(AND(G23&gt;=5,G23&lt;=9),INT(SQRT(D23)*E23),0)</f>
        <v>0</v>
      </c>
      <c r="G23" s="25">
        <f>IF(C23&gt;0,VLOOKUP(C23,Equip!A:N,13,FALSE),0)</f>
        <v>0</v>
      </c>
      <c r="H23" s="25">
        <f>IF(C23&gt;0,VLOOKUP(C23,Equip!A:C,2,FALSE),0)</f>
        <v>0</v>
      </c>
    </row>
    <row r="24" spans="2:8">
      <c r="C24" s="26"/>
      <c r="D24" s="26"/>
      <c r="E24" s="25">
        <f>IF(C24&gt;0,VLOOKUP(C24,Equip!A:G,6,FALSE),0)</f>
        <v>0</v>
      </c>
      <c r="F24" s="25">
        <f>IF(AND(G24&gt;=5,G24&lt;=9),INT(SQRT(D24)*E24),0)</f>
        <v>0</v>
      </c>
      <c r="G24" s="25">
        <f>IF(C24&gt;0,VLOOKUP(C24,Equip!A:N,13,FALSE),0)</f>
        <v>0</v>
      </c>
      <c r="H24" s="25">
        <f>IF(C24&gt;0,VLOOKUP(C24,Equip!A:C,2,FALSE),0)</f>
        <v>0</v>
      </c>
    </row>
    <row r="25" spans="2:8">
      <c r="C25" s="26"/>
      <c r="D25" s="26"/>
      <c r="E25" s="25">
        <f>IF(C25&gt;0,VLOOKUP(C25,Equip!A:G,6,FALSE),0)</f>
        <v>0</v>
      </c>
      <c r="F25" s="25">
        <f>IF(AND(G25&gt;=5,G25&lt;=9),INT(SQRT(D25)*E25),0)</f>
        <v>0</v>
      </c>
      <c r="G25" s="25">
        <f>IF(C25&gt;0,VLOOKUP(C25,Equip!A:N,13,FALSE),0)</f>
        <v>0</v>
      </c>
      <c r="H25" s="25">
        <f>IF(C25&gt;0,VLOOKUP(C25,Equip!A:C,2,FALSE),0)</f>
        <v>0</v>
      </c>
    </row>
    <row r="26" spans="2:8">
      <c r="C26" s="26"/>
      <c r="D26" s="26"/>
      <c r="E26" s="25">
        <f>IF(C26&gt;0,VLOOKUP(C26,Equip!A:G,6,FALSE),0)</f>
        <v>0</v>
      </c>
      <c r="F26" s="25">
        <f>IF(AND(G26&gt;=5,G26&lt;=9),INT(SQRT(D26)*E26),0)</f>
        <v>0</v>
      </c>
      <c r="G26" s="25">
        <f>IF(C26&gt;0,VLOOKUP(C26,Equip!A:N,13,FALSE),0)</f>
        <v>0</v>
      </c>
      <c r="H26" s="25">
        <f>IF(C26&gt;0,VLOOKUP(C26,Equip!A:C,2,FALSE),0)</f>
        <v>0</v>
      </c>
    </row>
    <row r="27" spans="2:8">
      <c r="F27" s="25">
        <f>SUM(F23:F26)</f>
        <v>0</v>
      </c>
    </row>
    <row r="28" spans="2:8">
      <c r="B28" s="20">
        <v>5</v>
      </c>
      <c r="C28" s="20" t="s">
        <v>1316</v>
      </c>
      <c r="D28" s="20" t="s">
        <v>1319</v>
      </c>
      <c r="E28" s="20" t="s">
        <v>716</v>
      </c>
      <c r="F28" s="20" t="s">
        <v>1318</v>
      </c>
      <c r="G28" s="20" t="s">
        <v>1317</v>
      </c>
      <c r="H28" s="20" t="s">
        <v>1316</v>
      </c>
    </row>
    <row r="29" spans="2:8">
      <c r="C29" s="26"/>
      <c r="D29" s="26"/>
      <c r="E29" s="25">
        <f>IF(C29&gt;0,VLOOKUP(C29,Equip!A:G,6,FALSE),0)</f>
        <v>0</v>
      </c>
      <c r="F29" s="25">
        <f>IF(AND(G29&gt;=5,G29&lt;=9),INT(SQRT(D29)*E29),0)</f>
        <v>0</v>
      </c>
      <c r="G29" s="25">
        <f>IF(C29&gt;0,VLOOKUP(C29,Equip!A:N,13,FALSE),0)</f>
        <v>0</v>
      </c>
      <c r="H29" s="25">
        <f>IF(C29&gt;0,VLOOKUP(C29,Equip!A:C,2,FALSE),0)</f>
        <v>0</v>
      </c>
    </row>
    <row r="30" spans="2:8">
      <c r="C30" s="26"/>
      <c r="D30" s="26"/>
      <c r="E30" s="25">
        <f>IF(C30&gt;0,VLOOKUP(C30,Equip!A:G,6,FALSE),0)</f>
        <v>0</v>
      </c>
      <c r="F30" s="25">
        <f>IF(AND(G30&gt;=5,G30&lt;=9),INT(SQRT(D30)*E30),0)</f>
        <v>0</v>
      </c>
      <c r="G30" s="25">
        <f>IF(C30&gt;0,VLOOKUP(C30,Equip!A:N,13,FALSE),0)</f>
        <v>0</v>
      </c>
      <c r="H30" s="25">
        <f>IF(C30&gt;0,VLOOKUP(C30,Equip!A:C,2,FALSE),0)</f>
        <v>0</v>
      </c>
    </row>
    <row r="31" spans="2:8">
      <c r="C31" s="26"/>
      <c r="D31" s="26"/>
      <c r="E31" s="25">
        <f>IF(C31&gt;0,VLOOKUP(C31,Equip!A:G,6,FALSE),0)</f>
        <v>0</v>
      </c>
      <c r="F31" s="25">
        <f>IF(AND(G31&gt;=5,G31&lt;=9),INT(SQRT(D31)*E31),0)</f>
        <v>0</v>
      </c>
      <c r="G31" s="25">
        <f>IF(C31&gt;0,VLOOKUP(C31,Equip!A:N,13,FALSE),0)</f>
        <v>0</v>
      </c>
      <c r="H31" s="25">
        <f>IF(C31&gt;0,VLOOKUP(C31,Equip!A:C,2,FALSE),0)</f>
        <v>0</v>
      </c>
    </row>
    <row r="32" spans="2:8">
      <c r="C32" s="26"/>
      <c r="D32" s="26"/>
      <c r="E32" s="25">
        <f>IF(C32&gt;0,VLOOKUP(C32,Equip!A:G,6,FALSE),0)</f>
        <v>0</v>
      </c>
      <c r="F32" s="25">
        <f>IF(AND(G32&gt;=5,G32&lt;=9),INT(SQRT(D32)*E32),0)</f>
        <v>0</v>
      </c>
      <c r="G32" s="25">
        <f>IF(C32&gt;0,VLOOKUP(C32,Equip!A:N,13,FALSE),0)</f>
        <v>0</v>
      </c>
      <c r="H32" s="25">
        <f>IF(C32&gt;0,VLOOKUP(C32,Equip!A:C,2,FALSE),0)</f>
        <v>0</v>
      </c>
    </row>
    <row r="33" spans="2:8">
      <c r="F33" s="25">
        <f>SUM(F29:F32)</f>
        <v>0</v>
      </c>
    </row>
    <row r="34" spans="2:8">
      <c r="B34" s="20">
        <v>6</v>
      </c>
      <c r="C34" s="20" t="s">
        <v>1316</v>
      </c>
      <c r="D34" s="20" t="s">
        <v>1319</v>
      </c>
      <c r="E34" s="20" t="s">
        <v>716</v>
      </c>
      <c r="F34" s="20" t="s">
        <v>1318</v>
      </c>
      <c r="G34" s="20" t="s">
        <v>1317</v>
      </c>
      <c r="H34" s="20" t="s">
        <v>1316</v>
      </c>
    </row>
    <row r="35" spans="2:8">
      <c r="C35" s="26"/>
      <c r="D35" s="26"/>
      <c r="E35" s="25">
        <f>IF(C35&gt;0,VLOOKUP(C35,Equip!A:G,6,FALSE),0)</f>
        <v>0</v>
      </c>
      <c r="F35" s="25">
        <f>IF(AND(G35&gt;=5,G35&lt;=9),INT(SQRT(D35)*E35),0)</f>
        <v>0</v>
      </c>
      <c r="G35" s="25">
        <f>IF(C35&gt;0,VLOOKUP(C35,Equip!A:N,13,FALSE),0)</f>
        <v>0</v>
      </c>
      <c r="H35" s="25">
        <f>IF(C35&gt;0,VLOOKUP(C35,Equip!A:C,2,FALSE),0)</f>
        <v>0</v>
      </c>
    </row>
    <row r="36" spans="2:8">
      <c r="C36" s="26"/>
      <c r="D36" s="26"/>
      <c r="E36" s="25">
        <f>IF(C36&gt;0,VLOOKUP(C36,Equip!A:G,6,FALSE),0)</f>
        <v>0</v>
      </c>
      <c r="F36" s="25">
        <f>IF(AND(G36&gt;=5,G36&lt;=9),INT(SQRT(D36)*E36),0)</f>
        <v>0</v>
      </c>
      <c r="G36" s="25">
        <f>IF(C36&gt;0,VLOOKUP(C36,Equip!A:N,13,FALSE),0)</f>
        <v>0</v>
      </c>
      <c r="H36" s="25">
        <f>IF(C36&gt;0,VLOOKUP(C36,Equip!A:C,2,FALSE),0)</f>
        <v>0</v>
      </c>
    </row>
    <row r="37" spans="2:8">
      <c r="C37" s="26"/>
      <c r="D37" s="26"/>
      <c r="E37" s="25">
        <f>IF(C37&gt;0,VLOOKUP(C37,Equip!A:G,6,FALSE),0)</f>
        <v>0</v>
      </c>
      <c r="F37" s="25">
        <f>IF(AND(G37&gt;=5,G37&lt;=9),INT(SQRT(D37)*E37),0)</f>
        <v>0</v>
      </c>
      <c r="G37" s="25">
        <f>IF(C37&gt;0,VLOOKUP(C37,Equip!A:N,13,FALSE),0)</f>
        <v>0</v>
      </c>
      <c r="H37" s="25">
        <f>IF(C37&gt;0,VLOOKUP(C37,Equip!A:C,2,FALSE),0)</f>
        <v>0</v>
      </c>
    </row>
    <row r="38" spans="2:8">
      <c r="C38" s="26"/>
      <c r="D38" s="26"/>
      <c r="E38" s="25">
        <f>IF(C38&gt;0,VLOOKUP(C38,Equip!A:G,6,FALSE),0)</f>
        <v>0</v>
      </c>
      <c r="F38" s="25">
        <f>IF(AND(G38&gt;=5,G38&lt;=9),INT(SQRT(D38)*E38),0)</f>
        <v>0</v>
      </c>
      <c r="G38" s="25">
        <f>IF(C38&gt;0,VLOOKUP(C38,Equip!A:N,13,FALSE),0)</f>
        <v>0</v>
      </c>
      <c r="H38" s="25">
        <f>IF(C38&gt;0,VLOOKUP(C38,Equip!A:C,2,FALSE),0)</f>
        <v>0</v>
      </c>
    </row>
    <row r="39" spans="2:8">
      <c r="F39" s="25">
        <f>SUM(F35:F38)</f>
        <v>0</v>
      </c>
    </row>
    <row r="66" spans="7:8">
      <c r="G66" s="22"/>
      <c r="H66" s="22"/>
    </row>
    <row r="67" spans="7:8">
      <c r="G67" s="22"/>
      <c r="H67" s="22"/>
    </row>
  </sheetData>
  <phoneticPr fontId="2" type="noConversion"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Chara</vt:lpstr>
      <vt:lpstr>Export-C</vt:lpstr>
      <vt:lpstr>Equip</vt:lpstr>
      <vt:lpstr>Export-E</vt:lpstr>
      <vt:lpstr>GunWeight</vt:lpstr>
      <vt:lpstr>Air_Command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Consumer Search</dc:creator>
  <cp:lastModifiedBy>Consumer Search</cp:lastModifiedBy>
  <dcterms:created xsi:type="dcterms:W3CDTF">2017-08-10T02:31:18Z</dcterms:created>
  <dcterms:modified xsi:type="dcterms:W3CDTF">2017-08-14T10:21:35Z</dcterms:modified>
</cp:coreProperties>
</file>